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oa\Documents\My Web Sites\Webpage\public_html\"/>
    </mc:Choice>
  </mc:AlternateContent>
  <bookViews>
    <workbookView xWindow="7485" yWindow="-15" windowWidth="7530" windowHeight="9165" tabRatio="645"/>
  </bookViews>
  <sheets>
    <sheet name="Υπολογισμός CIPW norm κ.ά." sheetId="1" r:id="rId1"/>
    <sheet name="Υπολογισμός Πυκνότητας Μαγμάτων" sheetId="4" r:id="rId2"/>
    <sheet name="Υπολογισμός Ιξώδους Μαγμάτων" sheetId="5" r:id="rId3"/>
    <sheet name="Μορ. Κλάσμα Η2Ο" sheetId="6" r:id="rId4"/>
  </sheets>
  <definedNames>
    <definedName name="_xlnm.Print_Area" localSheetId="0">'Υπολογισμός CIPW norm κ.ά.'!$A$1:$M$63</definedName>
  </definedNames>
  <calcPr calcId="152511"/>
</workbook>
</file>

<file path=xl/calcChain.xml><?xml version="1.0" encoding="utf-8"?>
<calcChain xmlns="http://schemas.openxmlformats.org/spreadsheetml/2006/main">
  <c r="E30" i="5" l="1"/>
  <c r="B6" i="6"/>
  <c r="D6" i="6" s="1"/>
  <c r="B7" i="6"/>
  <c r="D7" i="6"/>
  <c r="E7" i="6" s="1"/>
  <c r="B8" i="6"/>
  <c r="D8" i="6"/>
  <c r="E8" i="6" s="1"/>
  <c r="B23" i="6" s="1"/>
  <c r="H24" i="6" s="1"/>
  <c r="B9" i="6"/>
  <c r="D9" i="6"/>
  <c r="E9" i="6" s="1"/>
  <c r="B10" i="6"/>
  <c r="D10" i="6"/>
  <c r="E10" i="6" s="1"/>
  <c r="B11" i="6"/>
  <c r="D11" i="6"/>
  <c r="E11" i="6" s="1"/>
  <c r="B12" i="6"/>
  <c r="D12" i="6"/>
  <c r="E12" i="6" s="1"/>
  <c r="B13" i="6"/>
  <c r="D13" i="6"/>
  <c r="E13" i="6" s="1"/>
  <c r="B14" i="6"/>
  <c r="D14" i="6"/>
  <c r="E14" i="6" s="1"/>
  <c r="B15" i="6"/>
  <c r="D15" i="6"/>
  <c r="E15" i="6" s="1"/>
  <c r="B16" i="6"/>
  <c r="D16" i="6" s="1"/>
  <c r="C16" i="6"/>
  <c r="B17" i="6"/>
  <c r="D17" i="6" s="1"/>
  <c r="F17" i="6" s="1"/>
  <c r="B20" i="6"/>
  <c r="D7" i="5"/>
  <c r="E7" i="5" s="1"/>
  <c r="E8" i="5"/>
  <c r="D9" i="5"/>
  <c r="E9" i="5" s="1"/>
  <c r="D10" i="5"/>
  <c r="E10" i="5" s="1"/>
  <c r="D11" i="5"/>
  <c r="E11" i="5" s="1"/>
  <c r="D12" i="5"/>
  <c r="E12" i="5"/>
  <c r="D13" i="5"/>
  <c r="E13" i="5"/>
  <c r="D14" i="5"/>
  <c r="E14" i="5" s="1"/>
  <c r="D15" i="5"/>
  <c r="E15" i="5"/>
  <c r="D16" i="5"/>
  <c r="E16" i="5" s="1"/>
  <c r="D17" i="5"/>
  <c r="E17" i="5" s="1"/>
  <c r="D18" i="5"/>
  <c r="E18" i="5" s="1"/>
  <c r="C20" i="5"/>
  <c r="C35" i="5"/>
  <c r="C20" i="4"/>
  <c r="I18" i="4"/>
  <c r="D18" i="4"/>
  <c r="E18" i="4" s="1"/>
  <c r="J18" i="4" s="1"/>
  <c r="I17" i="4"/>
  <c r="D17" i="4"/>
  <c r="E17" i="4" s="1"/>
  <c r="J17" i="4" s="1"/>
  <c r="I16" i="4"/>
  <c r="D16" i="4"/>
  <c r="E16" i="4" s="1"/>
  <c r="J16" i="4" s="1"/>
  <c r="I15" i="4"/>
  <c r="D15" i="4"/>
  <c r="E15" i="4" s="1"/>
  <c r="J15" i="4" s="1"/>
  <c r="I14" i="4"/>
  <c r="D14" i="4"/>
  <c r="E14" i="4" s="1"/>
  <c r="J14" i="4" s="1"/>
  <c r="I13" i="4"/>
  <c r="D13" i="4"/>
  <c r="E13" i="4" s="1"/>
  <c r="J13" i="4" s="1"/>
  <c r="I12" i="4"/>
  <c r="D12" i="4"/>
  <c r="I11" i="4"/>
  <c r="D11" i="4"/>
  <c r="E11" i="4" s="1"/>
  <c r="J11" i="4" s="1"/>
  <c r="I10" i="4"/>
  <c r="D10" i="4"/>
  <c r="E10" i="4" s="1"/>
  <c r="J10" i="4" s="1"/>
  <c r="I9" i="4"/>
  <c r="D9" i="4"/>
  <c r="E9" i="4" s="1"/>
  <c r="J9" i="4" s="1"/>
  <c r="I8" i="4"/>
  <c r="J8" i="4" s="1"/>
  <c r="E8" i="4"/>
  <c r="I7" i="4"/>
  <c r="E7" i="4"/>
  <c r="J7" i="4" s="1"/>
  <c r="D7" i="4"/>
  <c r="Q49" i="1"/>
  <c r="Q50" i="1"/>
  <c r="Q51" i="1"/>
  <c r="Q69" i="1" s="1"/>
  <c r="Q52" i="1"/>
  <c r="Q53" i="1"/>
  <c r="Q54" i="1"/>
  <c r="Q55" i="1"/>
  <c r="Q56" i="1"/>
  <c r="Q57" i="1"/>
  <c r="Q58" i="1"/>
  <c r="Q59" i="1"/>
  <c r="Q60" i="1"/>
  <c r="Q61" i="1"/>
  <c r="Q62" i="1"/>
  <c r="Q63" i="1"/>
  <c r="Q64" i="1"/>
  <c r="Q65" i="1"/>
  <c r="Q66" i="1"/>
  <c r="Q67" i="1"/>
  <c r="Q68" i="1"/>
  <c r="Q48" i="1"/>
  <c r="B27" i="1"/>
  <c r="F9" i="1"/>
  <c r="F11" i="1" s="1"/>
  <c r="K1" i="1"/>
  <c r="AW5" i="1"/>
  <c r="H26" i="1"/>
  <c r="R25" i="1" s="1"/>
  <c r="S25" i="1" s="1"/>
  <c r="T25" i="1" s="1"/>
  <c r="U25" i="1" s="1"/>
  <c r="V25" i="1" s="1"/>
  <c r="W25" i="1" s="1"/>
  <c r="X25" i="1" s="1"/>
  <c r="Y25" i="1" s="1"/>
  <c r="Z25" i="1" s="1"/>
  <c r="AA25" i="1" s="1"/>
  <c r="AB25" i="1" s="1"/>
  <c r="AL6" i="1" s="1"/>
  <c r="AU6" i="1" s="1"/>
  <c r="H22" i="1"/>
  <c r="R21" i="1" s="1"/>
  <c r="H23" i="1"/>
  <c r="R22" i="1" s="1"/>
  <c r="H24" i="1"/>
  <c r="R23" i="1" s="1"/>
  <c r="H25" i="1"/>
  <c r="R24" i="1" s="1"/>
  <c r="S24" i="1" s="1"/>
  <c r="T24" i="1" s="1"/>
  <c r="U24" i="1" s="1"/>
  <c r="V24" i="1" s="1"/>
  <c r="W24" i="1" s="1"/>
  <c r="X24" i="1" s="1"/>
  <c r="Y26" i="1" s="1"/>
  <c r="AW6" i="1"/>
  <c r="AW7" i="1"/>
  <c r="AW8" i="1"/>
  <c r="AW9" i="1"/>
  <c r="AW10" i="1"/>
  <c r="AW12" i="1"/>
  <c r="AW14" i="1"/>
  <c r="AW15" i="1"/>
  <c r="AW16" i="1"/>
  <c r="AW18" i="1"/>
  <c r="AW19" i="1"/>
  <c r="AW20" i="1"/>
  <c r="AW21" i="1"/>
  <c r="AW22" i="1"/>
  <c r="AW24" i="1"/>
  <c r="AW25" i="1"/>
  <c r="AW26" i="1"/>
  <c r="AW27" i="1"/>
  <c r="AW28" i="1"/>
  <c r="AW29" i="1"/>
  <c r="AW30" i="1"/>
  <c r="AW31" i="1"/>
  <c r="AW32" i="1"/>
  <c r="AW33" i="1"/>
  <c r="AW34" i="1"/>
  <c r="AW35" i="1"/>
  <c r="AW36" i="1"/>
  <c r="AW37" i="1"/>
  <c r="E20" i="5" l="1"/>
  <c r="F16" i="5" s="1"/>
  <c r="F16" i="6"/>
  <c r="E16" i="6"/>
  <c r="F10" i="5"/>
  <c r="F18" i="5"/>
  <c r="F17" i="5"/>
  <c r="F14" i="5"/>
  <c r="D20" i="6"/>
  <c r="E6" i="6"/>
  <c r="E20" i="6" s="1"/>
  <c r="F6" i="6"/>
  <c r="B28" i="6"/>
  <c r="D31" i="6" s="1"/>
  <c r="F15" i="6"/>
  <c r="F14" i="6"/>
  <c r="F13" i="6"/>
  <c r="F12" i="6"/>
  <c r="F11" i="6"/>
  <c r="F10" i="6"/>
  <c r="F9" i="6"/>
  <c r="F8" i="6"/>
  <c r="F7" i="6"/>
  <c r="J20" i="4"/>
  <c r="E20" i="4"/>
  <c r="AX6" i="1"/>
  <c r="Y24" i="1"/>
  <c r="AU30" i="1" s="1"/>
  <c r="AX30" i="1" s="1"/>
  <c r="Y23" i="1"/>
  <c r="AU29" i="1" s="1"/>
  <c r="AX29" i="1" s="1"/>
  <c r="AZ29" i="1" s="1"/>
  <c r="F10" i="1"/>
  <c r="F9" i="5" l="1"/>
  <c r="F15" i="5"/>
  <c r="F7" i="5"/>
  <c r="F30" i="5"/>
  <c r="C30" i="5" s="1"/>
  <c r="F8" i="5"/>
  <c r="F12" i="5"/>
  <c r="F11" i="5"/>
  <c r="F20" i="6"/>
  <c r="B27" i="6" s="1"/>
  <c r="H29" i="6" s="1"/>
  <c r="F13" i="5"/>
  <c r="H24" i="4"/>
  <c r="H25" i="4"/>
  <c r="AZ30" i="1"/>
  <c r="K28" i="1"/>
  <c r="L28" i="1" s="1"/>
  <c r="AZ6" i="1"/>
  <c r="K26" i="1"/>
  <c r="L26" i="1" s="1"/>
  <c r="F12" i="1"/>
  <c r="H9" i="1" s="1"/>
  <c r="H9" i="5" l="1"/>
  <c r="I9" i="5" s="1"/>
  <c r="H13" i="5"/>
  <c r="I13" i="5" s="1"/>
  <c r="H10" i="5"/>
  <c r="I10" i="5" s="1"/>
  <c r="H14" i="5"/>
  <c r="I14" i="5" s="1"/>
  <c r="H11" i="5"/>
  <c r="I11" i="5" s="1"/>
  <c r="H15" i="5"/>
  <c r="I15" i="5" s="1"/>
  <c r="H8" i="5"/>
  <c r="I8" i="5" s="1"/>
  <c r="H12" i="5"/>
  <c r="I12" i="5" s="1"/>
  <c r="H16" i="5"/>
  <c r="I16" i="5" s="1"/>
  <c r="H18" i="5"/>
  <c r="I18" i="5" s="1"/>
  <c r="F20" i="5"/>
  <c r="R8" i="1"/>
  <c r="Z37" i="1"/>
  <c r="Q37" i="1"/>
  <c r="Z53" i="1"/>
  <c r="H13" i="1"/>
  <c r="H20" i="1"/>
  <c r="R19" i="1" s="1"/>
  <c r="S19" i="1" s="1"/>
  <c r="H8" i="1"/>
  <c r="H15" i="1"/>
  <c r="H6" i="1"/>
  <c r="H11" i="1"/>
  <c r="H21" i="1"/>
  <c r="R20" i="1" s="1"/>
  <c r="S20" i="1" s="1"/>
  <c r="T20" i="1" s="1"/>
  <c r="U20" i="1" s="1"/>
  <c r="AU24" i="1" s="1"/>
  <c r="AX24" i="1" s="1"/>
  <c r="H12" i="1"/>
  <c r="H16" i="1"/>
  <c r="H14" i="1"/>
  <c r="H19" i="1"/>
  <c r="R18" i="1" s="1"/>
  <c r="S18" i="1" s="1"/>
  <c r="T18" i="1" s="1"/>
  <c r="U18" i="1" s="1"/>
  <c r="V18" i="1" s="1"/>
  <c r="W18" i="1" s="1"/>
  <c r="X18" i="1" s="1"/>
  <c r="AU28" i="1" s="1"/>
  <c r="AX28" i="1" s="1"/>
  <c r="H18" i="1"/>
  <c r="R17" i="1" s="1"/>
  <c r="S17" i="1" s="1"/>
  <c r="T17" i="1" s="1"/>
  <c r="U17" i="1" s="1"/>
  <c r="V17" i="1" s="1"/>
  <c r="W26" i="1" s="1"/>
  <c r="H10" i="1"/>
  <c r="H7" i="1"/>
  <c r="H17" i="1"/>
  <c r="R16" i="1" s="1"/>
  <c r="S16" i="1" s="1"/>
  <c r="T16" i="1" s="1"/>
  <c r="U16" i="1" s="1"/>
  <c r="V16" i="1" s="1"/>
  <c r="W16" i="1" s="1"/>
  <c r="X16" i="1" s="1"/>
  <c r="Y16" i="1" s="1"/>
  <c r="Z16" i="1" s="1"/>
  <c r="AA26" i="1" s="1"/>
  <c r="I20" i="5" l="1"/>
  <c r="F23" i="5" s="1"/>
  <c r="F25" i="5" s="1"/>
  <c r="H25" i="5" s="1"/>
  <c r="AA16" i="1"/>
  <c r="AU32" i="1" s="1"/>
  <c r="AX32" i="1" s="1"/>
  <c r="AA17" i="1"/>
  <c r="K31" i="1"/>
  <c r="L31" i="1" s="1"/>
  <c r="AZ24" i="1"/>
  <c r="R6" i="1"/>
  <c r="S6" i="1" s="1"/>
  <c r="T6" i="1" s="1"/>
  <c r="U6" i="1" s="1"/>
  <c r="V6" i="1" s="1"/>
  <c r="W6" i="1" s="1"/>
  <c r="X6" i="1" s="1"/>
  <c r="Y6" i="1" s="1"/>
  <c r="Z35" i="1"/>
  <c r="Z51" i="1"/>
  <c r="Q35" i="1"/>
  <c r="R13" i="1"/>
  <c r="S13" i="1" s="1"/>
  <c r="T13" i="1" s="1"/>
  <c r="U13" i="1" s="1"/>
  <c r="V13" i="1" s="1"/>
  <c r="Z42" i="1"/>
  <c r="Q42" i="1"/>
  <c r="Z58" i="1"/>
  <c r="R10" i="1"/>
  <c r="Z39" i="1"/>
  <c r="Q39" i="1"/>
  <c r="Z55" i="1"/>
  <c r="K30" i="1"/>
  <c r="L30" i="1" s="1"/>
  <c r="AZ28" i="1"/>
  <c r="Q36" i="1"/>
  <c r="R7" i="1"/>
  <c r="S7" i="1" s="1"/>
  <c r="T7" i="1" s="1"/>
  <c r="U7" i="1" s="1"/>
  <c r="V7" i="1" s="1"/>
  <c r="W7" i="1" s="1"/>
  <c r="X7" i="1" s="1"/>
  <c r="Y7" i="1" s="1"/>
  <c r="Z7" i="1" s="1"/>
  <c r="AA7" i="1" s="1"/>
  <c r="AB7" i="1" s="1"/>
  <c r="Z52" i="1"/>
  <c r="Z36" i="1"/>
  <c r="Z38" i="1"/>
  <c r="Q38" i="1"/>
  <c r="R9" i="1"/>
  <c r="S9" i="1" s="1"/>
  <c r="T9" i="1" s="1"/>
  <c r="U9" i="1" s="1"/>
  <c r="V9" i="1" s="1"/>
  <c r="W9" i="1" s="1"/>
  <c r="X9" i="1" s="1"/>
  <c r="Y9" i="1" s="1"/>
  <c r="Z54" i="1"/>
  <c r="R15" i="1"/>
  <c r="S15" i="1" s="1"/>
  <c r="T15" i="1" s="1"/>
  <c r="AU23" i="1" s="1"/>
  <c r="Z60" i="1"/>
  <c r="R5" i="1"/>
  <c r="S5" i="1" s="1"/>
  <c r="T5" i="1" s="1"/>
  <c r="U5" i="1" s="1"/>
  <c r="V5" i="1" s="1"/>
  <c r="W5" i="1" s="1"/>
  <c r="X5" i="1" s="1"/>
  <c r="Y5" i="1" s="1"/>
  <c r="Z5" i="1" s="1"/>
  <c r="AA5" i="1" s="1"/>
  <c r="AB5" i="1" s="1"/>
  <c r="AC5" i="1" s="1"/>
  <c r="AD5" i="1" s="1"/>
  <c r="AE5" i="1" s="1"/>
  <c r="Z34" i="1"/>
  <c r="H27" i="1"/>
  <c r="K49" i="1" s="1"/>
  <c r="Q34" i="1"/>
  <c r="Z50" i="1"/>
  <c r="R12" i="1"/>
  <c r="Z41" i="1"/>
  <c r="Q41" i="1"/>
  <c r="Z57" i="1"/>
  <c r="W21" i="1"/>
  <c r="AU27" i="1" s="1"/>
  <c r="AX27" i="1" s="1"/>
  <c r="W17" i="1"/>
  <c r="AU26" i="1" s="1"/>
  <c r="AX26" i="1" s="1"/>
  <c r="R11" i="1"/>
  <c r="Q40" i="1"/>
  <c r="Z40" i="1"/>
  <c r="Z56" i="1"/>
  <c r="R14" i="1"/>
  <c r="S14" i="1" s="1"/>
  <c r="T14" i="1" s="1"/>
  <c r="U14" i="1" s="1"/>
  <c r="V14" i="1" s="1"/>
  <c r="W14" i="1" s="1"/>
  <c r="X14" i="1" s="1"/>
  <c r="Y14" i="1" s="1"/>
  <c r="Z14" i="1" s="1"/>
  <c r="AA14" i="1" s="1"/>
  <c r="AB14" i="1" s="1"/>
  <c r="Z43" i="1"/>
  <c r="Z59" i="1"/>
  <c r="Q43" i="1"/>
  <c r="S8" i="1"/>
  <c r="T8" i="1" s="1"/>
  <c r="U8" i="1" s="1"/>
  <c r="V8" i="1" s="1"/>
  <c r="W8" i="1" s="1"/>
  <c r="X8" i="1" s="1"/>
  <c r="Y8" i="1" s="1"/>
  <c r="Z8" i="1" s="1"/>
  <c r="AA8" i="1" s="1"/>
  <c r="AB8" i="1" s="1"/>
  <c r="AC8" i="1" s="1"/>
  <c r="AD8" i="1" s="1"/>
  <c r="AE8" i="1" s="1"/>
  <c r="AF8" i="1" s="1"/>
  <c r="AC26" i="1" l="1"/>
  <c r="AC15" i="1" s="1"/>
  <c r="AL7" i="1" s="1"/>
  <c r="AU7" i="1" s="1"/>
  <c r="AX7" i="1" s="1"/>
  <c r="T19" i="1"/>
  <c r="U19" i="1" s="1"/>
  <c r="V19" i="1" s="1"/>
  <c r="AU25" i="1" s="1"/>
  <c r="AX25" i="1" s="1"/>
  <c r="AZ25" i="1" s="1"/>
  <c r="K33" i="1"/>
  <c r="L33" i="1" s="1"/>
  <c r="AZ26" i="1"/>
  <c r="Q44" i="1"/>
  <c r="R37" i="1" s="1"/>
  <c r="S37" i="1" s="1"/>
  <c r="U37" i="1" s="1"/>
  <c r="AZ27" i="1"/>
  <c r="K34" i="1"/>
  <c r="L34" i="1" s="1"/>
  <c r="K38" i="1"/>
  <c r="M38" i="1" s="1"/>
  <c r="S12" i="1"/>
  <c r="T12" i="1" s="1"/>
  <c r="U12" i="1" s="1"/>
  <c r="K42" i="1"/>
  <c r="M42" i="1" s="1"/>
  <c r="Z45" i="1"/>
  <c r="AA40" i="1" s="1"/>
  <c r="AC40" i="1" s="1"/>
  <c r="T29" i="1"/>
  <c r="AW23" i="1" s="1"/>
  <c r="AX23" i="1" s="1"/>
  <c r="S11" i="1"/>
  <c r="T11" i="1" s="1"/>
  <c r="U11" i="1" s="1"/>
  <c r="V11" i="1" s="1"/>
  <c r="W11" i="1" s="1"/>
  <c r="X11" i="1" s="1"/>
  <c r="Y11" i="1" s="1"/>
  <c r="Z11" i="1" s="1"/>
  <c r="AA11" i="1" s="1"/>
  <c r="AB11" i="1" s="1"/>
  <c r="AC11" i="1" s="1"/>
  <c r="AD11" i="1" s="1"/>
  <c r="AE11" i="1" s="1"/>
  <c r="AF11" i="1" s="1"/>
  <c r="AG11" i="1" s="1"/>
  <c r="AH11" i="1" s="1"/>
  <c r="K40" i="1"/>
  <c r="M40" i="1" s="1"/>
  <c r="K39" i="1"/>
  <c r="M39" i="1" s="1"/>
  <c r="Z61" i="1"/>
  <c r="Z62" i="1" s="1"/>
  <c r="AA53" i="1" s="1"/>
  <c r="W33" i="1"/>
  <c r="M49" i="1"/>
  <c r="W13" i="1"/>
  <c r="X13" i="1" s="1"/>
  <c r="Y13" i="1" s="1"/>
  <c r="Z13" i="1" s="1"/>
  <c r="AA13" i="1" s="1"/>
  <c r="AB13" i="1" s="1"/>
  <c r="AC13" i="1" s="1"/>
  <c r="Z26" i="1"/>
  <c r="AU33" i="1"/>
  <c r="AX33" i="1" s="1"/>
  <c r="AG5" i="1"/>
  <c r="AH5" i="1" s="1"/>
  <c r="AI5" i="1" s="1"/>
  <c r="AJ5" i="1" s="1"/>
  <c r="AF5" i="1"/>
  <c r="K35" i="1"/>
  <c r="L35" i="1" s="1"/>
  <c r="AZ32" i="1"/>
  <c r="K32" i="1" l="1"/>
  <c r="L32" i="1" s="1"/>
  <c r="V12" i="1"/>
  <c r="W12" i="1" s="1"/>
  <c r="X12" i="1" s="1"/>
  <c r="Y12" i="1" s="1"/>
  <c r="Z12" i="1" s="1"/>
  <c r="AA12" i="1" s="1"/>
  <c r="AB12" i="1" s="1"/>
  <c r="AC12" i="1" s="1"/>
  <c r="AD12" i="1" s="1"/>
  <c r="AC14" i="1"/>
  <c r="AD14" i="1" s="1"/>
  <c r="AE14" i="1" s="1"/>
  <c r="AF14" i="1" s="1"/>
  <c r="AG14" i="1" s="1"/>
  <c r="AH14" i="1" s="1"/>
  <c r="AI14" i="1" s="1"/>
  <c r="AJ14" i="1" s="1"/>
  <c r="AL15" i="1" s="1"/>
  <c r="R36" i="1"/>
  <c r="S36" i="1" s="1"/>
  <c r="U36" i="1" s="1"/>
  <c r="W36" i="1" s="1"/>
  <c r="R40" i="1"/>
  <c r="S40" i="1" s="1"/>
  <c r="U40" i="1" s="1"/>
  <c r="W40" i="1" s="1"/>
  <c r="R42" i="1"/>
  <c r="S42" i="1" s="1"/>
  <c r="U42" i="1" s="1"/>
  <c r="W42" i="1" s="1"/>
  <c r="R35" i="1"/>
  <c r="S35" i="1" s="1"/>
  <c r="U35" i="1" s="1"/>
  <c r="W35" i="1" s="1"/>
  <c r="R39" i="1"/>
  <c r="S39" i="1" s="1"/>
  <c r="U39" i="1" s="1"/>
  <c r="AA39" i="1"/>
  <c r="AC39" i="1" s="1"/>
  <c r="AA36" i="1"/>
  <c r="AC36" i="1" s="1"/>
  <c r="AA34" i="1"/>
  <c r="AC34" i="1" s="1"/>
  <c r="AA43" i="1"/>
  <c r="AC43" i="1" s="1"/>
  <c r="AA35" i="1"/>
  <c r="AC35" i="1" s="1"/>
  <c r="AA42" i="1"/>
  <c r="AC42" i="1" s="1"/>
  <c r="AA38" i="1"/>
  <c r="AC38" i="1" s="1"/>
  <c r="R34" i="1"/>
  <c r="S34" i="1" s="1"/>
  <c r="U34" i="1" s="1"/>
  <c r="W34" i="1" s="1"/>
  <c r="AA55" i="1"/>
  <c r="AA60" i="1"/>
  <c r="AA52" i="1"/>
  <c r="W37" i="1"/>
  <c r="AA56" i="1"/>
  <c r="AZ7" i="1"/>
  <c r="K19" i="1"/>
  <c r="L19" i="1" s="1"/>
  <c r="AA50" i="1"/>
  <c r="R41" i="1"/>
  <c r="S41" i="1" s="1"/>
  <c r="U41" i="1" s="1"/>
  <c r="W41" i="1" s="1"/>
  <c r="R43" i="1"/>
  <c r="S43" i="1" s="1"/>
  <c r="U43" i="1" s="1"/>
  <c r="W43" i="1" s="1"/>
  <c r="K25" i="1"/>
  <c r="L25" i="1" s="1"/>
  <c r="AZ23" i="1"/>
  <c r="AZ33" i="1"/>
  <c r="K36" i="1"/>
  <c r="L36" i="1" s="1"/>
  <c r="AA54" i="1"/>
  <c r="AA58" i="1"/>
  <c r="Z10" i="1"/>
  <c r="AA10" i="1" s="1"/>
  <c r="AB10" i="1" s="1"/>
  <c r="AC10" i="1" s="1"/>
  <c r="AD10" i="1" s="1"/>
  <c r="AE10" i="1" s="1"/>
  <c r="AF26" i="1" s="1"/>
  <c r="Z6" i="1"/>
  <c r="AA57" i="1"/>
  <c r="AA44" i="1"/>
  <c r="AC44" i="1" s="1"/>
  <c r="AA37" i="1"/>
  <c r="AC37" i="1" s="1"/>
  <c r="AA51" i="1"/>
  <c r="R38" i="1"/>
  <c r="S38" i="1" s="1"/>
  <c r="U38" i="1" s="1"/>
  <c r="AA41" i="1"/>
  <c r="AC41" i="1" s="1"/>
  <c r="AA59" i="1"/>
  <c r="AC7" i="1" l="1"/>
  <c r="AD7" i="1" s="1"/>
  <c r="AE26" i="1" s="1"/>
  <c r="AE7" i="1" s="1"/>
  <c r="AU34" i="1" s="1"/>
  <c r="AX34" i="1" s="1"/>
  <c r="W38" i="1"/>
  <c r="W44" i="1" s="1"/>
  <c r="K46" i="1" s="1"/>
  <c r="M46" i="1" s="1"/>
  <c r="AA45" i="1"/>
  <c r="AC45" i="1"/>
  <c r="AD37" i="1" s="1"/>
  <c r="AA61" i="1"/>
  <c r="AA62" i="1" s="1"/>
  <c r="AB59" i="1" s="1"/>
  <c r="AF18" i="1"/>
  <c r="AU35" i="1" s="1"/>
  <c r="AX35" i="1" s="1"/>
  <c r="AF10" i="1"/>
  <c r="AU31" i="1"/>
  <c r="AX31" i="1" s="1"/>
  <c r="Z9" i="1"/>
  <c r="AA9" i="1" s="1"/>
  <c r="AB9" i="1" s="1"/>
  <c r="AC9" i="1" s="1"/>
  <c r="AD9" i="1" s="1"/>
  <c r="AE9" i="1" s="1"/>
  <c r="AF9" i="1" s="1"/>
  <c r="AG9" i="1" s="1"/>
  <c r="R44" i="1"/>
  <c r="AE12" i="1" l="1"/>
  <c r="AF12" i="1" s="1"/>
  <c r="AG12" i="1" s="1"/>
  <c r="AH12" i="1" s="1"/>
  <c r="AI12" i="1" s="1"/>
  <c r="AD26" i="1"/>
  <c r="AD20" i="1" s="1"/>
  <c r="AE20" i="1" s="1"/>
  <c r="AF20" i="1" s="1"/>
  <c r="AG26" i="1" s="1"/>
  <c r="AD44" i="1"/>
  <c r="AE21" i="1"/>
  <c r="AL8" i="1" s="1"/>
  <c r="AU8" i="1" s="1"/>
  <c r="AX8" i="1" s="1"/>
  <c r="AB60" i="1"/>
  <c r="AB52" i="1"/>
  <c r="AB54" i="1"/>
  <c r="AB58" i="1"/>
  <c r="K12" i="1"/>
  <c r="L12" i="1" s="1"/>
  <c r="AZ34" i="1"/>
  <c r="AB57" i="1"/>
  <c r="AL12" i="1"/>
  <c r="AO26" i="1" s="1"/>
  <c r="AG10" i="1"/>
  <c r="AH10" i="1" s="1"/>
  <c r="AI10" i="1" s="1"/>
  <c r="AJ10" i="1" s="1"/>
  <c r="AD36" i="1"/>
  <c r="AH34" i="1" s="1"/>
  <c r="AD38" i="1"/>
  <c r="AD42" i="1"/>
  <c r="AD40" i="1"/>
  <c r="AD35" i="1"/>
  <c r="AD43" i="1"/>
  <c r="AD39" i="1"/>
  <c r="AB55" i="1"/>
  <c r="AB53" i="1"/>
  <c r="AB56" i="1"/>
  <c r="K22" i="1"/>
  <c r="L22" i="1" s="1"/>
  <c r="AZ31" i="1"/>
  <c r="K21" i="1"/>
  <c r="L21" i="1" s="1"/>
  <c r="AZ35" i="1"/>
  <c r="AB50" i="1"/>
  <c r="AD41" i="1"/>
  <c r="AD34" i="1"/>
  <c r="AB51" i="1"/>
  <c r="AD13" i="1" l="1"/>
  <c r="AE13" i="1" s="1"/>
  <c r="AF13" i="1" s="1"/>
  <c r="AG13" i="1" s="1"/>
  <c r="AH13" i="1" s="1"/>
  <c r="AI13" i="1" s="1"/>
  <c r="AJ13" i="1" s="1"/>
  <c r="AL14" i="1" s="1"/>
  <c r="AF37" i="1"/>
  <c r="AH35" i="1" s="1"/>
  <c r="AH36" i="1"/>
  <c r="AF42" i="1"/>
  <c r="AH37" i="1" s="1"/>
  <c r="AG20" i="1"/>
  <c r="AL9" i="1" s="1"/>
  <c r="AU9" i="1" s="1"/>
  <c r="AX9" i="1" s="1"/>
  <c r="AG19" i="1"/>
  <c r="AO12" i="1"/>
  <c r="AU12" i="1" s="1"/>
  <c r="AX12" i="1" s="1"/>
  <c r="AO18" i="1"/>
  <c r="AU18" i="1" s="1"/>
  <c r="AX18" i="1" s="1"/>
  <c r="AD45" i="1"/>
  <c r="AZ8" i="1"/>
  <c r="AB61" i="1"/>
  <c r="AB62" i="1" s="1"/>
  <c r="AF34" i="1" l="1"/>
  <c r="AH39" i="1" s="1"/>
  <c r="AH40" i="1" s="1"/>
  <c r="AH45" i="1" s="1"/>
  <c r="K47" i="1" s="1"/>
  <c r="M47" i="1" s="1"/>
  <c r="AC59" i="1"/>
  <c r="AC60" i="1"/>
  <c r="AC52" i="1"/>
  <c r="AC58" i="1"/>
  <c r="AC54" i="1"/>
  <c r="AC56" i="1"/>
  <c r="AZ12" i="1"/>
  <c r="K29" i="1"/>
  <c r="L29" i="1" s="1"/>
  <c r="AC55" i="1"/>
  <c r="K20" i="1"/>
  <c r="L20" i="1" s="1"/>
  <c r="AZ9" i="1"/>
  <c r="K27" i="1"/>
  <c r="L27" i="1" s="1"/>
  <c r="AZ18" i="1"/>
  <c r="AC57" i="1"/>
  <c r="AC53" i="1"/>
  <c r="AC50" i="1"/>
  <c r="AL10" i="1"/>
  <c r="AG8" i="1"/>
  <c r="AH26" i="1" s="1"/>
  <c r="AC51" i="1"/>
  <c r="AH8" i="1" l="1"/>
  <c r="AH22" i="1"/>
  <c r="AU37" i="1" s="1"/>
  <c r="AX37" i="1" s="1"/>
  <c r="AU10" i="1"/>
  <c r="AX10" i="1" s="1"/>
  <c r="AC61" i="1"/>
  <c r="AC62" i="1" s="1"/>
  <c r="AD60" i="1" s="1"/>
  <c r="AF60" i="1" s="1"/>
  <c r="AG60" i="1" s="1"/>
  <c r="AD59" i="1" l="1"/>
  <c r="AF59" i="1" s="1"/>
  <c r="AG59" i="1" s="1"/>
  <c r="AD52" i="1"/>
  <c r="AF52" i="1" s="1"/>
  <c r="AG52" i="1" s="1"/>
  <c r="AK50" i="1" s="1"/>
  <c r="AD54" i="1"/>
  <c r="AF54" i="1" s="1"/>
  <c r="AG54" i="1" s="1"/>
  <c r="AD53" i="1"/>
  <c r="AF53" i="1" s="1"/>
  <c r="AG53" i="1" s="1"/>
  <c r="AD50" i="1"/>
  <c r="AD61" i="1" s="1"/>
  <c r="AD56" i="1"/>
  <c r="AF56" i="1" s="1"/>
  <c r="AG56" i="1" s="1"/>
  <c r="K24" i="1"/>
  <c r="L24" i="1" s="1"/>
  <c r="AZ37" i="1"/>
  <c r="AD58" i="1"/>
  <c r="AF58" i="1" s="1"/>
  <c r="AG58" i="1" s="1"/>
  <c r="AD57" i="1"/>
  <c r="AF57" i="1" s="1"/>
  <c r="AG57" i="1" s="1"/>
  <c r="AD55" i="1"/>
  <c r="AF55" i="1" s="1"/>
  <c r="AG55" i="1" s="1"/>
  <c r="AD51" i="1"/>
  <c r="AF51" i="1" s="1"/>
  <c r="AG51" i="1" s="1"/>
  <c r="K18" i="1"/>
  <c r="L18" i="1" s="1"/>
  <c r="AZ10" i="1"/>
  <c r="AU36" i="1"/>
  <c r="AX36" i="1" s="1"/>
  <c r="AH9" i="1"/>
  <c r="AI58" i="1" l="1"/>
  <c r="AK53" i="1" s="1"/>
  <c r="AF50" i="1"/>
  <c r="AG50" i="1" s="1"/>
  <c r="AI53" i="1"/>
  <c r="AK51" i="1" s="1"/>
  <c r="AK52" i="1"/>
  <c r="K50" i="1"/>
  <c r="M50" i="1" s="1"/>
  <c r="AF61" i="1"/>
  <c r="AG61" i="1" s="1"/>
  <c r="AK54" i="1" s="1"/>
  <c r="AI9" i="1"/>
  <c r="AI30" i="1"/>
  <c r="K23" i="1"/>
  <c r="L23" i="1" s="1"/>
  <c r="AZ36" i="1"/>
  <c r="AD62" i="1"/>
  <c r="AJ26" i="1" l="1"/>
  <c r="AI31" i="1"/>
  <c r="AY17" i="1"/>
  <c r="AY11" i="1"/>
  <c r="AY13" i="1"/>
  <c r="K41" i="1"/>
  <c r="M41" i="1" s="1"/>
  <c r="AF62" i="1"/>
  <c r="AG62" i="1"/>
  <c r="AI50" i="1"/>
  <c r="AK55" i="1" s="1"/>
  <c r="AK56" i="1" s="1"/>
  <c r="AK62" i="1" s="1"/>
  <c r="K48" i="1" s="1"/>
  <c r="M48" i="1" s="1"/>
  <c r="AJ12" i="1" l="1"/>
  <c r="AJ18" i="1"/>
  <c r="AL16" i="1" s="1"/>
  <c r="AR26" i="1" s="1"/>
  <c r="AW11" i="1"/>
  <c r="AW13" i="1"/>
  <c r="AW17" i="1"/>
  <c r="AR21" i="1" l="1"/>
  <c r="AR16" i="1"/>
  <c r="AU16" i="1" s="1"/>
  <c r="AX16" i="1" s="1"/>
  <c r="AL11" i="1"/>
  <c r="AJ9" i="1"/>
  <c r="AL13" i="1" s="1"/>
  <c r="AL5" i="1" l="1"/>
  <c r="AZ16" i="1"/>
  <c r="K15" i="1"/>
  <c r="L15" i="1" s="1"/>
  <c r="AM5" i="1" l="1"/>
  <c r="AU5" i="1" s="1"/>
  <c r="AX5" i="1" s="1"/>
  <c r="AN26" i="1"/>
  <c r="K6" i="1" l="1"/>
  <c r="AZ5" i="1"/>
  <c r="AN17" i="1"/>
  <c r="AN13" i="1"/>
  <c r="AU13" i="1" l="1"/>
  <c r="AX13" i="1" s="1"/>
  <c r="AN5" i="1"/>
  <c r="AO5" i="1" s="1"/>
  <c r="L6" i="1"/>
  <c r="AP26" i="1" l="1"/>
  <c r="K14" i="1"/>
  <c r="L14" i="1" s="1"/>
  <c r="AZ13" i="1"/>
  <c r="AP14" i="1" l="1"/>
  <c r="AP19" i="1"/>
  <c r="AU19" i="1" s="1"/>
  <c r="AX19" i="1" s="1"/>
  <c r="K9" i="1" l="1"/>
  <c r="L9" i="1" s="1"/>
  <c r="AZ19" i="1"/>
  <c r="AU14" i="1"/>
  <c r="AX14" i="1" s="1"/>
  <c r="AP27" i="1"/>
  <c r="K43" i="1" s="1"/>
  <c r="M43" i="1" s="1"/>
  <c r="AP5" i="1"/>
  <c r="AQ26" i="1" l="1"/>
  <c r="AZ14" i="1"/>
  <c r="K7" i="1"/>
  <c r="L7" i="1" l="1"/>
  <c r="AQ15" i="1"/>
  <c r="AQ20" i="1"/>
  <c r="AT26" i="1" s="1"/>
  <c r="AT20" i="1" l="1"/>
  <c r="AU20" i="1" s="1"/>
  <c r="AX20" i="1" s="1"/>
  <c r="AT22" i="1"/>
  <c r="AU22" i="1" s="1"/>
  <c r="AX22" i="1" s="1"/>
  <c r="AU15" i="1"/>
  <c r="AX15" i="1" s="1"/>
  <c r="AQ5" i="1"/>
  <c r="AR5" i="1" s="1"/>
  <c r="AS26" i="1" l="1"/>
  <c r="K8" i="1"/>
  <c r="AZ15" i="1"/>
  <c r="K11" i="1"/>
  <c r="L11" i="1" s="1"/>
  <c r="AZ22" i="1"/>
  <c r="K10" i="1"/>
  <c r="L10" i="1" s="1"/>
  <c r="AZ20" i="1"/>
  <c r="L8" i="1" l="1"/>
  <c r="K44" i="1"/>
  <c r="AS17" i="1"/>
  <c r="AU17" i="1" s="1"/>
  <c r="AX17" i="1" s="1"/>
  <c r="AS11" i="1"/>
  <c r="AU11" i="1" s="1"/>
  <c r="AX11" i="1" s="1"/>
  <c r="AS21" i="1"/>
  <c r="K13" i="1" l="1"/>
  <c r="AZ11" i="1"/>
  <c r="K16" i="1"/>
  <c r="L16" i="1" s="1"/>
  <c r="AZ17" i="1"/>
  <c r="AU21" i="1"/>
  <c r="AX21" i="1" s="1"/>
  <c r="AX38" i="1" s="1"/>
  <c r="AS5" i="1"/>
  <c r="AT5" i="1" s="1"/>
  <c r="K17" i="1" l="1"/>
  <c r="L17" i="1" s="1"/>
  <c r="AZ21" i="1"/>
  <c r="AZ38" i="1" s="1"/>
  <c r="BA11" i="1" s="1"/>
  <c r="L13" i="1"/>
  <c r="K37" i="1" l="1"/>
  <c r="M13" i="1"/>
  <c r="N12" i="1" s="1"/>
  <c r="BB11" i="1"/>
  <c r="BA29" i="1"/>
  <c r="BB29" i="1" s="1"/>
  <c r="BA6" i="1"/>
  <c r="BA30" i="1"/>
  <c r="BA28" i="1"/>
  <c r="BA24" i="1"/>
  <c r="BA27" i="1"/>
  <c r="BA25" i="1"/>
  <c r="BA32" i="1"/>
  <c r="BA26" i="1"/>
  <c r="BA23" i="1"/>
  <c r="BA33" i="1"/>
  <c r="BA7" i="1"/>
  <c r="BA34" i="1"/>
  <c r="BA31" i="1"/>
  <c r="BA35" i="1"/>
  <c r="BA8" i="1"/>
  <c r="BA12" i="1"/>
  <c r="BA18" i="1"/>
  <c r="BA9" i="1"/>
  <c r="BA37" i="1"/>
  <c r="BA10" i="1"/>
  <c r="BA36" i="1"/>
  <c r="BA16" i="1"/>
  <c r="BA5" i="1"/>
  <c r="BA13" i="1"/>
  <c r="BA19" i="1"/>
  <c r="BA14" i="1"/>
  <c r="BB14" i="1" s="1"/>
  <c r="BA20" i="1"/>
  <c r="BA15" i="1"/>
  <c r="BA22" i="1"/>
  <c r="BA21" i="1"/>
  <c r="BA17" i="1"/>
  <c r="M6" i="1" l="1"/>
  <c r="BB5" i="1"/>
  <c r="BA38" i="1"/>
  <c r="M7" i="1"/>
  <c r="N6" i="1" s="1"/>
  <c r="BB8" i="1"/>
  <c r="M35" i="1"/>
  <c r="N34" i="1" s="1"/>
  <c r="BB32" i="1"/>
  <c r="M30" i="1"/>
  <c r="N29" i="1" s="1"/>
  <c r="BB28" i="1"/>
  <c r="BB16" i="1"/>
  <c r="M15" i="1"/>
  <c r="N14" i="1" s="1"/>
  <c r="M20" i="1"/>
  <c r="N19" i="1" s="1"/>
  <c r="BB9" i="1"/>
  <c r="M21" i="1"/>
  <c r="N20" i="1" s="1"/>
  <c r="BB35" i="1"/>
  <c r="M36" i="1"/>
  <c r="N35" i="1" s="1"/>
  <c r="BB33" i="1"/>
  <c r="M32" i="1"/>
  <c r="N31" i="1" s="1"/>
  <c r="BB25" i="1"/>
  <c r="M28" i="1"/>
  <c r="N27" i="1" s="1"/>
  <c r="BB30" i="1"/>
  <c r="BB17" i="1"/>
  <c r="M16" i="1"/>
  <c r="N15" i="1" s="1"/>
  <c r="BB37" i="1"/>
  <c r="M24" i="1"/>
  <c r="N23" i="1" s="1"/>
  <c r="M19" i="1"/>
  <c r="N18" i="1" s="1"/>
  <c r="BB7" i="1"/>
  <c r="BB21" i="1"/>
  <c r="M17" i="1"/>
  <c r="N16" i="1" s="1"/>
  <c r="M11" i="1"/>
  <c r="N10" i="1" s="1"/>
  <c r="BB22" i="1"/>
  <c r="M9" i="1"/>
  <c r="N8" i="1" s="1"/>
  <c r="BB19" i="1"/>
  <c r="M23" i="1"/>
  <c r="N22" i="1" s="1"/>
  <c r="BB36" i="1"/>
  <c r="M27" i="1"/>
  <c r="N26" i="1" s="1"/>
  <c r="BB18" i="1"/>
  <c r="BB31" i="1"/>
  <c r="M22" i="1"/>
  <c r="N21" i="1" s="1"/>
  <c r="M25" i="1"/>
  <c r="N24" i="1" s="1"/>
  <c r="BB23" i="1"/>
  <c r="M34" i="1"/>
  <c r="N33" i="1" s="1"/>
  <c r="BB27" i="1"/>
  <c r="BB6" i="1"/>
  <c r="M26" i="1"/>
  <c r="N25" i="1" s="1"/>
  <c r="BB20" i="1"/>
  <c r="M10" i="1"/>
  <c r="N9" i="1" s="1"/>
  <c r="M8" i="1"/>
  <c r="N7" i="1" s="1"/>
  <c r="BB15" i="1"/>
  <c r="M14" i="1"/>
  <c r="N13" i="1" s="1"/>
  <c r="BB13" i="1"/>
  <c r="BB10" i="1"/>
  <c r="M18" i="1"/>
  <c r="N17" i="1" s="1"/>
  <c r="BB12" i="1"/>
  <c r="M29" i="1"/>
  <c r="N28" i="1" s="1"/>
  <c r="BB34" i="1"/>
  <c r="M12" i="1"/>
  <c r="N11" i="1" s="1"/>
  <c r="M33" i="1"/>
  <c r="N32" i="1" s="1"/>
  <c r="BB26" i="1"/>
  <c r="BB24" i="1"/>
  <c r="M31" i="1"/>
  <c r="N30" i="1" s="1"/>
  <c r="BB38" i="1" l="1"/>
  <c r="M45" i="1" s="1"/>
  <c r="K45" i="1" s="1"/>
  <c r="M37" i="1"/>
  <c r="N5" i="1"/>
  <c r="M44" i="1"/>
  <c r="E22" i="1" l="1"/>
  <c r="E21" i="1"/>
</calcChain>
</file>

<file path=xl/comments1.xml><?xml version="1.0" encoding="utf-8"?>
<comments xmlns="http://schemas.openxmlformats.org/spreadsheetml/2006/main">
  <authors>
    <author>A satisfied Microsoft Office user</author>
    <author>Andreas Magganas</author>
  </authors>
  <commentList>
    <comment ref="M1" authorId="0" shapeId="0">
      <text>
        <r>
          <rPr>
            <sz val="8"/>
            <color indexed="81"/>
            <rFont val="Tahoma"/>
          </rPr>
          <t>Βάλε τα δεδομένα σου στις ανοικτοκίτρινες περιοχές. Τα αποτελέσματα βρίσκονται στις ανοικτογάλαζες περιοχές.
Οι norms (από το normalize = κανονικοποιώ) είναι απλοί τρόποι για επαυπολογισμό των χημικών αναλύσεων ωστε κάποιες συγκρίσεις να γίνουν ευκολότερα, από το να γίνουν μέσω των χημικών αναλύσεων απευθείας. Το πρόγραμμα αυτό δίνει μια ελαφρά παραλλαγή της  CIPW norm που συνήθως δίνεται στην πετρολογία.
Γράψε την χημική ανάλυση του πετρώματός σου κάτω από τον τίτλο "Ανάλυση Πετρώματος". Αν θέλεις επέλεξε μια από τις δύο επιλογές στους "Διορθωτικούς Παράγοντες". Η "Διορθωμένη Ανάλυση" προκύπτει από από τη "Ανάλυση Πετρώματος" αλλά περιλαμβάωει τις αλλαγές που επέλεξες στου "Διορθωτικούς Παράγοντες". Οι norms υπολογίζονται και δίνονται κάτω από την επικεφαλίδα "% κ.β. Norm", δίπλα από τα "Ορυκτά Norm". Οι Norm σε % κ.β. είναι αυτές που συνήθως χρησιμοποιούνται. Σημείωσε ότι οι Norm μπορει να αναγράφονται και κάτω από την οθόνη οπότε κύλισε παρακάτω να δεις και τις υπόλοιπες τιμές. Πολλά κελιά έχουν κόκκινους δείκτες που σημαίνει ότι υπάρχει μια εξήγηση για το συγκεκριμένο κελί. Απλά βάλε τον κέρσορα στο κελί και η σημείωση θα εμφανιστεί.
Η πηγή για τον υπολογισμό της norm είναι: Johannsen, A., 1931, A Descriptive Petrography of the Igneous Rocks, Volume 1 (p. 88-92).  University of Chicago Press, Chicago, 267 p.
Αυτή η norm έχει τροποποιηθεί ώστε να ομαδοποιήσει όλα τα συστατικά των πλαγιοκλάστων μαζί, και να συνδυάσει τα norm-ικά ορυκτά En, Fs, και Wo στον διοψίδιο και στον ορθοπυρόξενο. Το συστατικό  SO3 έχει τροποποιηθεί για να συμπεριλάβει τον ανυδρίτη αν υπάρχει αρκετό  Na2O να δημιουργήσει θεναρδίτη. Το συστατικό Cr2O3 έχει τροποποιηθεί για να συμπεριλάβει τον μαγνησιοχρωμίτη αν υπάρχει αρκετό FeO για να παράγει σιδηρο-χρωμίτη.</t>
        </r>
      </text>
    </comment>
    <comment ref="B4" authorId="0" shapeId="0">
      <text>
        <r>
          <rPr>
            <sz val="8"/>
            <color indexed="81"/>
            <rFont val="Tahoma"/>
          </rPr>
          <t>Γράψε εδώ τη χημική σύσταση του πετρώματος. Κύρια στοιχεία σε % κ.β. και ιχνοστοιχεία σε ppm.</t>
        </r>
      </text>
    </comment>
    <comment ref="E4" authorId="0" shapeId="0">
      <text>
        <r>
          <rPr>
            <sz val="8"/>
            <color indexed="81"/>
            <rFont val="Tahoma"/>
          </rPr>
          <t>Η χημική ανάλυση μπορεί να επανυπολογιστεί στο 100% πριν υπολογιστεί η norm. Ακόμη μπορείς να θέσεις την αναλογία  Fe3+/(Fe3++Fe2+) σε μια σταθερή τιμή.</t>
        </r>
      </text>
    </comment>
    <comment ref="H4" authorId="0" shapeId="0">
      <text>
        <r>
          <rPr>
            <sz val="8"/>
            <color indexed="81"/>
            <rFont val="Tahoma"/>
          </rPr>
          <t>Αυτές οι τιμές έχουν διορθωθεί ως εξής: 1) Αν εσύ το επέλεξες, οι τιμές έχουν επανυπολογιστεί σε άθροισμα 100 %. Θυμίσου ότι λόγω στρογγυλοποιήσεων το άθροισμα μπορεί να μην είναι 100 % ακριβώς.  2) Αν εσύ το επέλεξες, τα οξείδια του σιδήρου έχουν αλλάξει στη σταθερή αναλογία που έβαλες. Σ' αυτή τη περίπτωση το σύνολο θα είναι το ίδιο όπως στην ανάλυση που έδωσες, εκτός των σφαλμάτων στρογγυλοποίησης. Θυμίσου ότι, λόγω του επανυπολογισμού, οι τιμές των οξειδίων δεν θα είναι ακριβώς οι ίδιες όπως στην ανάλυση που έδωσες. 3) Αν η ανάλυση σου περιλαμβάνει ιχνοστοιχεία, αυτά τα στοιχεία έχουν επανυπολογιστεί από ppm στα στοιχεία σε % κ.β. στα οξείδια (π.χ. 500 ppm Zr τώρα ισούται με 0.07 % ZrO2).</t>
        </r>
      </text>
    </comment>
    <comment ref="J4" authorId="0" shapeId="0">
      <text>
        <r>
          <rPr>
            <sz val="8"/>
            <color indexed="81"/>
            <rFont val="Tahoma"/>
          </rPr>
          <t xml:space="preserve">Αυτές είναι οι τιμές των νορμικών (δυνητικών) ορυκτών που το πρόγραμμα υπολογίζει. Είναι τα ορυκτά που πιθανά βρίσκονται σε ένα πυριγενές πέτρωμα που αποψύχθηκε αργά σε χαμηλές πιέσεις σε άνυδρες συνθήκες. Ποιό πρακτικά αυτά είναι τα πρότυπα συστατικά που μπορεί να χρησιμοποιηθούν για σύγκριση πετρωμάτων μεταξύ τους με τον ίδιο τρόπο που μπορεί να συγκριθούν οι χημικές τους αναλύσεις. Μην όμως έχετε την ιδέα ότι όλα αυτά τα ορυκτά θα τα βρήτε και στο πέτρωμά σας. 
</t>
        </r>
      </text>
    </comment>
    <comment ref="K4" authorId="0" shapeId="0">
      <text>
        <r>
          <rPr>
            <sz val="8"/>
            <color indexed="81"/>
            <rFont val="Tahoma"/>
          </rPr>
          <t xml:space="preserve">Η κ.β. norm (δυνητική) σύσταση είναι η κλασική norm που όλοι σχεδόν χρησιμοποιούν. Τα δυνητικά συστατικά (ορυκτά) υπολογίζονται με βάση τη % κ.β. αναλογία τους. Αυτός ο τύπος της norm δεν μπορεί να συγκριθεί με τι δίνει ο σημειομετρητής ορυκτών σε μια λεπτή τομή. </t>
        </r>
      </text>
    </comment>
    <comment ref="M4" authorId="0" shapeId="0">
      <text>
        <r>
          <rPr>
            <sz val="8"/>
            <color indexed="81"/>
            <rFont val="Tahoma"/>
          </rPr>
          <t xml:space="preserve">Αυτή η κ.ό. δυνητική σύσταση δεν δίνεται συνήθως στη βιβλιογραφία. Σ' αυτή τα δυνητικά συστατικά (ορυκτά) υπολογίζονται με βάση την % κ.ό. στο δυνητικό πέτρωμα, παρά με τη % κ.β. σύσταση του. Αυτή η δυνητική σύσταση σχετικά μπορεί να συγκριθεί με τα αποτελέσματα του σημειομετρητή ορυκτών σε λεπτή τομή πετρώματος. Απλά θυμήσου ότι τα δυνητικά ορυκτά είναι καθαρές ενώσεις, ενώ τα πραγματικά ορυκτά είναι στερεά διαλύματα. Για παράδειγμα το δυνητικό πλαγιόκλαστο και το δυνητικό ορθόκλαστο μπορεί πραγματικά να είναι ένας περθίτης ή σανίδινο στο πραγματικό πέτρωμα.
</t>
        </r>
      </text>
    </comment>
    <comment ref="AM5" authorId="0" shapeId="0">
      <text>
        <r>
          <rPr>
            <sz val="8"/>
            <color indexed="81"/>
            <rFont val="Tahoma"/>
          </rPr>
          <t>Χαλαζίας</t>
        </r>
      </text>
    </comment>
    <comment ref="AN5" authorId="0" shapeId="0">
      <text>
        <r>
          <rPr>
            <sz val="8"/>
            <color indexed="81"/>
            <rFont val="Tahoma"/>
          </rPr>
          <t>To SiO2 που απομένει μετα την απομάκρυνση του ολιβίνη από τον υπερσθενή.</t>
        </r>
      </text>
    </comment>
    <comment ref="AO5" authorId="0" shapeId="0">
      <text>
        <r>
          <rPr>
            <sz val="8"/>
            <color indexed="81"/>
            <rFont val="Tahoma"/>
          </rPr>
          <t>To SiO2 που απομένει μετα την απομάκρυνση του περοβσκίτη από τον τιτανίτη.</t>
        </r>
      </text>
    </comment>
    <comment ref="AP5" authorId="0" shapeId="0">
      <text>
        <r>
          <rPr>
            <sz val="8"/>
            <color indexed="81"/>
            <rFont val="Tahoma"/>
          </rPr>
          <t>To SiO2 που απομένει μετα την απομάκρυνση του νεφελίνη από τον αλβίτη.</t>
        </r>
      </text>
    </comment>
    <comment ref="AQ5" authorId="0" shapeId="0">
      <text>
        <r>
          <rPr>
            <sz val="8"/>
            <color indexed="81"/>
            <rFont val="Tahoma"/>
          </rPr>
          <t>To SiO2 που απομένει μετα την απομάκρυνση του λευκίτη από το ορθόκλαστο.</t>
        </r>
      </text>
    </comment>
    <comment ref="AR5" authorId="0" shapeId="0">
      <text>
        <r>
          <rPr>
            <sz val="8"/>
            <color indexed="81"/>
            <rFont val="Tahoma"/>
          </rPr>
          <t>To SiO2 που απομένει μετα την απομάκρυνση του βολλαστονίτη για το σχηματισμό λαρνίτη.</t>
        </r>
      </text>
    </comment>
    <comment ref="AS5" authorId="0" shapeId="0">
      <text>
        <r>
          <rPr>
            <sz val="8"/>
            <color indexed="81"/>
            <rFont val="Tahoma"/>
          </rPr>
          <t>To SiO2 που απομένει μετα την απομάκρυνση του διοψίδιου για να σχηματίσε λαρνίτη και περισσότερο ολιβίνη.</t>
        </r>
      </text>
    </comment>
    <comment ref="AT5" authorId="0" shapeId="0">
      <text>
        <r>
          <rPr>
            <sz val="8"/>
            <color indexed="81"/>
            <rFont val="Tahoma"/>
          </rPr>
          <t>Silica after removal of kalsilite from leucite</t>
        </r>
      </text>
    </comment>
    <comment ref="E6" authorId="0" shapeId="0">
      <text>
        <r>
          <rPr>
            <sz val="8"/>
            <color indexed="81"/>
            <rFont val="Tahoma"/>
          </rPr>
          <t>Αν θέλεις η norm να επανυπολογιστεί στο 100%, γράψε ένα "Y" (Αγγλικό Υ) στο διπλανό κελί.  Αν θέλεις η norm να υπολογιστεί στο ίδιο σύνολο βάρους που δίνεις στην ανάλυση, γράψε ένα  "N"  (Αγγλικό Ν) στον ίδιο χώρο.</t>
        </r>
      </text>
    </comment>
    <comment ref="F6" authorId="0" shapeId="0">
      <text>
        <r>
          <rPr>
            <sz val="8"/>
            <color indexed="81"/>
            <rFont val="Tahoma"/>
          </rPr>
          <t>Βάλε ένα "Y" ή ένα "N" (Υ &amp; Ν αγγλικά). Βλέπε σχόλιο στο κελί αριστερά.</t>
        </r>
      </text>
    </comment>
    <comment ref="Z6" authorId="0" shapeId="0">
      <text>
        <r>
          <rPr>
            <sz val="8"/>
            <color indexed="81"/>
            <rFont val="Tahoma"/>
          </rPr>
          <t>Ιλμενίτης</t>
        </r>
      </text>
    </comment>
    <comment ref="E7" authorId="0" shapeId="0">
      <text>
        <r>
          <rPr>
            <sz val="8"/>
            <color indexed="81"/>
            <rFont val="Tahoma"/>
          </rPr>
          <t>Κανονικά η norm υπολογίζεται χρησιμοποιώντας τις τιμές Fe2O3 και FeO που δίνονται στην ανάλυση. Για να γίνει αυτό βάλε απλά ένα μηδέν (0) στα δεξιά. Κάποιες φορές, αν το πέτρωμα είναι εξαλλοιωμένο, μεταμορφωμένο, ή αν δεν υπάρχουν δεδομένα και για τα δύο οξείδια του Fe, μπορείς να βάλεις μια σταθερή αναλογία των δύο ξειδίων για να υπολογιστεί η norm.  Για να επιλέξεις μια σταθερή αναλογία, αντικατέστησε το μηδέν σ' αυτό το χώρο με ένα αριθμό από το 0 ως το 1, που αναταποκρίνεται στη επιθυμητή μοριακή αναλογία  Fe3+/(Ολικό Fe).  υνήθεις αναλογίες που χρησιμοποιούνται είναι: 0.1 για βασάλτες και βασαλτικούς ανδεσίτες, 0.15 για ανδεσίτες, 0.2 για δακίτες, και 0.3 για ρυόλιθους.</t>
        </r>
      </text>
    </comment>
    <comment ref="F7" authorId="0" shapeId="0">
      <text>
        <r>
          <rPr>
            <sz val="8"/>
            <color indexed="81"/>
            <rFont val="Tahoma"/>
          </rPr>
          <t>Type in a zero or a number between 0 and 1.  If zero, the Fe2O3 and FeO values in the Rock Analysis column are used in the norm calculation.  If a value between zero and one is used, this value is used as the ratio of Fe3+ to total iron in the norm calculations.</t>
        </r>
      </text>
    </comment>
    <comment ref="AE7" authorId="0" shapeId="0">
      <text>
        <r>
          <rPr>
            <sz val="8"/>
            <color indexed="81"/>
            <rFont val="Tahoma"/>
          </rPr>
          <t>Κορούνδιο</t>
        </r>
      </text>
    </comment>
    <comment ref="AH8" authorId="0" shapeId="0">
      <text>
        <r>
          <rPr>
            <sz val="8"/>
            <color indexed="81"/>
            <rFont val="Tahoma"/>
          </rPr>
          <t>Μαγνητίτης</t>
        </r>
      </text>
    </comment>
    <comment ref="E9" authorId="0" shapeId="0">
      <text>
        <r>
          <rPr>
            <sz val="8"/>
            <color indexed="81"/>
            <rFont val="Tahoma"/>
          </rPr>
          <t>Πληροφοριακή τιμή. Αν όλος ο Fe στο πέτρωμά σου ήταν ως FeO, αυτό είναι το ποσοστό κ.β. % που αυτό πέτρωμα μπορεί να φτάξει.</t>
        </r>
      </text>
    </comment>
    <comment ref="AJ9" authorId="0" shapeId="0">
      <text>
        <r>
          <rPr>
            <sz val="8"/>
            <color indexed="81"/>
            <rFont val="Tahoma"/>
          </rPr>
          <t>Υποθετικός Υπερσθενής</t>
        </r>
      </text>
    </comment>
    <comment ref="E10" authorId="0" shapeId="0">
      <text>
        <r>
          <rPr>
            <sz val="8"/>
            <color indexed="81"/>
            <rFont val="Tahoma"/>
          </rPr>
          <t>Πληροφοριακή τιμή. Ποσοστό % κ.β. Fe2O3 για τη norm, βασιζόμενη στην ανάλυσή σου, ή στη τιμη  Fe3+/(Ολικό Fe) που έδωσες παραπάνω στους "Διορθωτικούς Παράγοντες".</t>
        </r>
      </text>
    </comment>
    <comment ref="Z10" authorId="0" shapeId="0">
      <text>
        <r>
          <rPr>
            <sz val="8"/>
            <color indexed="81"/>
            <rFont val="Tahoma"/>
          </rPr>
          <t>Υποθετικός Τιτανίτης</t>
        </r>
      </text>
    </comment>
    <comment ref="AF10" authorId="0" shapeId="0">
      <text>
        <r>
          <rPr>
            <sz val="8"/>
            <color indexed="81"/>
            <rFont val="Tahoma"/>
          </rPr>
          <t>Υποθετικός Τιτανίτης</t>
        </r>
      </text>
    </comment>
    <comment ref="E11" authorId="0" shapeId="0">
      <text>
        <r>
          <rPr>
            <sz val="8"/>
            <color indexed="81"/>
            <rFont val="Tahoma"/>
          </rPr>
          <t>Πληροφοριακή τιμή. Ποσοστό % κ.β. FeO για τη norm, βασιζόμενη στην ανάλυσή σου, ή στη τιμη  Fe3+/(Ολικό Fe) που έδωσες παραπάνω στους "Διορθωτικούς Παράγοντες".</t>
        </r>
      </text>
    </comment>
    <comment ref="AS11" authorId="0" shapeId="0">
      <text>
        <r>
          <rPr>
            <sz val="8"/>
            <color indexed="81"/>
            <rFont val="Tahoma"/>
          </rPr>
          <t>Διοψίδιο</t>
        </r>
      </text>
    </comment>
    <comment ref="E12" authorId="0" shapeId="0">
      <text>
        <r>
          <rPr>
            <sz val="8"/>
            <color indexed="81"/>
            <rFont val="Tahoma"/>
          </rPr>
          <t>Πληροφοριακή τιμή. Η τιμή αυτή χρησιμοποιείται για το επανυπολογισμό της χημικής σου ανάλυσης είτε αν εσύ θέλεις η norm να επανυπολογιστή στο 100 %, ή αν θέλεις να αλλάξεις την αναλογία των οξειδίων του Fe στην ανάλυσή σου, ή και τα δύο.</t>
        </r>
      </text>
    </comment>
    <comment ref="AJ12" authorId="0" shapeId="0">
      <text>
        <r>
          <rPr>
            <sz val="8"/>
            <color indexed="81"/>
            <rFont val="Tahoma"/>
          </rPr>
          <t>Diopside</t>
        </r>
      </text>
    </comment>
    <comment ref="AO12" authorId="0" shapeId="0">
      <text>
        <r>
          <rPr>
            <sz val="8"/>
            <color indexed="81"/>
            <rFont val="Tahoma"/>
          </rPr>
          <t>Τιτανίτης</t>
        </r>
      </text>
    </comment>
    <comment ref="AD13" authorId="0" shapeId="0">
      <text>
        <r>
          <rPr>
            <sz val="8"/>
            <color indexed="81"/>
            <rFont val="Tahoma"/>
          </rPr>
          <t>Υποθετικός Αλβίτης</t>
        </r>
      </text>
    </comment>
    <comment ref="AN13" authorId="0" shapeId="0">
      <text>
        <r>
          <rPr>
            <sz val="8"/>
            <color indexed="81"/>
            <rFont val="Tahoma"/>
          </rPr>
          <t>Υπερσθενής</t>
        </r>
      </text>
    </comment>
    <comment ref="AC14" authorId="0" shapeId="0">
      <text>
        <r>
          <rPr>
            <sz val="8"/>
            <color indexed="81"/>
            <rFont val="Tahoma"/>
          </rPr>
          <t>Ορθόκλαστο ή Λευκίτης ή Καλσιλίτης</t>
        </r>
      </text>
    </comment>
    <comment ref="AP14" authorId="0" shapeId="0">
      <text>
        <r>
          <rPr>
            <sz val="8"/>
            <color indexed="81"/>
            <rFont val="Tahoma"/>
          </rPr>
          <t>Αλβίτης</t>
        </r>
      </text>
    </comment>
    <comment ref="T15" authorId="0" shapeId="0">
      <text>
        <r>
          <rPr>
            <sz val="8"/>
            <color indexed="81"/>
            <rFont val="Tahoma"/>
          </rPr>
          <t>Απατίτης</t>
        </r>
      </text>
    </comment>
    <comment ref="AC15" authorId="0" shapeId="0">
      <text>
        <r>
          <rPr>
            <sz val="8"/>
            <color indexed="81"/>
            <rFont val="Tahoma"/>
          </rPr>
          <t>K2SiO3</t>
        </r>
      </text>
    </comment>
    <comment ref="AQ15" authorId="0" shapeId="0">
      <text>
        <r>
          <rPr>
            <sz val="8"/>
            <color indexed="81"/>
            <rFont val="Tahoma"/>
          </rPr>
          <t>Ορθόκλαστο</t>
        </r>
      </text>
    </comment>
    <comment ref="AA16" authorId="0" shapeId="0">
      <text>
        <r>
          <rPr>
            <sz val="8"/>
            <color indexed="81"/>
            <rFont val="Tahoma"/>
          </rPr>
          <t>Ασβεστίτης</t>
        </r>
      </text>
    </comment>
    <comment ref="AR16" authorId="0" shapeId="0">
      <text>
        <r>
          <rPr>
            <sz val="8"/>
            <color indexed="81"/>
            <rFont val="Tahoma"/>
          </rPr>
          <t>Βολλαστονίτης</t>
        </r>
      </text>
    </comment>
    <comment ref="W17" authorId="0" shapeId="0">
      <text>
        <r>
          <rPr>
            <sz val="8"/>
            <color indexed="81"/>
            <rFont val="Tahoma"/>
          </rPr>
          <t>Ανυδρίτης</t>
        </r>
      </text>
    </comment>
    <comment ref="AA17" authorId="0" shapeId="0">
      <text>
        <r>
          <rPr>
            <sz val="8"/>
            <color indexed="81"/>
            <rFont val="Tahoma"/>
          </rPr>
          <t>Na2CO3</t>
        </r>
      </text>
    </comment>
    <comment ref="AN17" authorId="0" shapeId="0">
      <text>
        <r>
          <rPr>
            <sz val="8"/>
            <color indexed="81"/>
            <rFont val="Tahoma"/>
          </rPr>
          <t>Ολιβίνης</t>
        </r>
      </text>
    </comment>
    <comment ref="AS17" authorId="0" shapeId="0">
      <text>
        <r>
          <rPr>
            <sz val="8"/>
            <color indexed="81"/>
            <rFont val="Tahoma"/>
          </rPr>
          <t>Ολιβίνης</t>
        </r>
      </text>
    </comment>
    <comment ref="X18" authorId="0" shapeId="0">
      <text>
        <r>
          <rPr>
            <sz val="8"/>
            <color indexed="81"/>
            <rFont val="Tahoma"/>
          </rPr>
          <t>Σιδηροπυρίτης</t>
        </r>
      </text>
    </comment>
    <comment ref="AF18" authorId="0" shapeId="0">
      <text>
        <r>
          <rPr>
            <sz val="8"/>
            <color indexed="81"/>
            <rFont val="Tahoma"/>
          </rPr>
          <t>Ρουτίλιο</t>
        </r>
      </text>
    </comment>
    <comment ref="AJ18" authorId="0" shapeId="0">
      <text>
        <r>
          <rPr>
            <sz val="8"/>
            <color indexed="81"/>
            <rFont val="Tahoma"/>
          </rPr>
          <t>Υποθετικός Βολλαστονίτης</t>
        </r>
      </text>
    </comment>
    <comment ref="AO18" authorId="0" shapeId="0">
      <text>
        <r>
          <rPr>
            <sz val="8"/>
            <color indexed="81"/>
            <rFont val="Tahoma"/>
          </rPr>
          <t>Περοβσκίτης</t>
        </r>
      </text>
    </comment>
    <comment ref="V19" authorId="0" shapeId="0">
      <text>
        <r>
          <rPr>
            <sz val="8"/>
            <color indexed="81"/>
            <rFont val="Tahoma"/>
          </rPr>
          <t>Φθορίτης</t>
        </r>
      </text>
    </comment>
    <comment ref="AG19" authorId="0" shapeId="0">
      <text>
        <r>
          <rPr>
            <sz val="8"/>
            <color indexed="81"/>
            <rFont val="Tahoma"/>
          </rPr>
          <t>Na2SiO3</t>
        </r>
      </text>
    </comment>
    <comment ref="AP19" authorId="0" shapeId="0">
      <text>
        <r>
          <rPr>
            <sz val="8"/>
            <color indexed="81"/>
            <rFont val="Tahoma"/>
          </rPr>
          <t>Νεφελίνης</t>
        </r>
      </text>
    </comment>
    <comment ref="U20" authorId="0" shapeId="0">
      <text>
        <r>
          <rPr>
            <sz val="8"/>
            <color indexed="81"/>
            <rFont val="Tahoma"/>
          </rPr>
          <t>Αλίτης</t>
        </r>
      </text>
    </comment>
    <comment ref="AD20" authorId="0" shapeId="0">
      <text>
        <r>
          <rPr>
            <sz val="8"/>
            <color indexed="81"/>
            <rFont val="Tahoma"/>
          </rPr>
          <t>Na2SiO3 ή Ακμίτης</t>
        </r>
      </text>
    </comment>
    <comment ref="AG20" authorId="0" shapeId="0">
      <text>
        <r>
          <rPr>
            <sz val="8"/>
            <color indexed="81"/>
            <rFont val="Tahoma"/>
          </rPr>
          <t>Ακμίτης</t>
        </r>
      </text>
    </comment>
    <comment ref="AQ20" authorId="0" shapeId="0">
      <text>
        <r>
          <rPr>
            <sz val="8"/>
            <color indexed="81"/>
            <rFont val="Tahoma"/>
          </rPr>
          <t>Λευκίτης</t>
        </r>
      </text>
    </comment>
    <comment ref="AT20" authorId="0" shapeId="0">
      <text>
        <r>
          <rPr>
            <sz val="8"/>
            <color indexed="81"/>
            <rFont val="Tahoma"/>
          </rPr>
          <t>Λευκίτης</t>
        </r>
      </text>
    </comment>
    <comment ref="E21" authorId="0" shapeId="0">
      <text>
        <r>
          <rPr>
            <sz val="8"/>
            <color indexed="81"/>
            <rFont val="Tahoma"/>
          </rPr>
          <t xml:space="preserve">Αυτό το κελί ελέγχει μερικά σημεία των υπολογισμών ώστε να βεβαιωθούμε ότι αυτοί είναι σύμφωνοι με μια λογική δυνητική σύσταση. Το πράσινο ΟΚ μήνυμα δείχνει ότι δεν υπάρχει κάτι που να είναι εξόφθαλμα λάθος. Ωστόσο δεν σημαίνει απαραίτητα ότι και η δυνητική σύσταση είναι σωστή, και πάντα πρέπει να ελέγχεις τα δεδομένα σου και την λογική των αποτελεσμάτων που λαμβάνεις. 
</t>
        </r>
      </text>
    </comment>
    <comment ref="W21" authorId="0" shapeId="0">
      <text>
        <r>
          <rPr>
            <sz val="8"/>
            <color indexed="81"/>
            <rFont val="Tahoma"/>
          </rPr>
          <t>Θεναρδίτης</t>
        </r>
      </text>
    </comment>
    <comment ref="AE21" authorId="0" shapeId="0">
      <text>
        <r>
          <rPr>
            <sz val="8"/>
            <color indexed="81"/>
            <rFont val="Tahoma"/>
          </rPr>
          <t>Ανορθίτης</t>
        </r>
      </text>
    </comment>
    <comment ref="AR21" authorId="0" shapeId="0">
      <text>
        <r>
          <rPr>
            <sz val="8"/>
            <color indexed="81"/>
            <rFont val="Tahoma"/>
          </rPr>
          <t>Λαρνίτης</t>
        </r>
      </text>
    </comment>
    <comment ref="AS21" authorId="0" shapeId="0">
      <text>
        <r>
          <rPr>
            <sz val="8"/>
            <color indexed="81"/>
            <rFont val="Tahoma"/>
          </rPr>
          <t>Λαρνίτης</t>
        </r>
      </text>
    </comment>
    <comment ref="E22" authorId="0" shapeId="0">
      <text>
        <r>
          <rPr>
            <sz val="8"/>
            <color indexed="81"/>
            <rFont val="Tahoma"/>
          </rPr>
          <t xml:space="preserve">Αυτό το κελί ελέγχει μερικά σημεία των υπολογισμών για την επιβεβαίωση ότι τα αποτελέσμα ανταποκρίνονται σε μια σωστή δυνητική σύσταση. Το κόκκινο προειδοποιητικό μύνημα δείχνει ότι κάποιο πρόβλημα υπάρχει στους υπολογισμούς. Αυτό ίσως σημαίνει ότι η σύσταση σου γράφτηκε λάθος, ή ότι η σύσταση που δόθηκε είναι εκτός των ορίων που σχεδιάστηκε να υπολογίζει η CIPW, ή δείχνει ένα πρόβλημα στο πρόγραμμα. Πρώτα έλεγξε τα δεδομένα σου και ότι έχουν αναγραφεί σωστά. Αν δεν είναι αυτό το πρόβλημα επικοινώνησε με το υπεύθυνο του μαθήματος.
</t>
        </r>
      </text>
    </comment>
    <comment ref="AH22" authorId="0" shapeId="0">
      <text>
        <r>
          <rPr>
            <sz val="8"/>
            <color indexed="81"/>
            <rFont val="Tahoma"/>
          </rPr>
          <t>Αιματίτης</t>
        </r>
      </text>
    </comment>
    <comment ref="AT22" authorId="0" shapeId="0">
      <text>
        <r>
          <rPr>
            <sz val="8"/>
            <color indexed="81"/>
            <rFont val="Tahoma"/>
          </rPr>
          <t>Καλσιλίτης</t>
        </r>
      </text>
    </comment>
    <comment ref="Y23" authorId="0" shapeId="0">
      <text>
        <r>
          <rPr>
            <sz val="8"/>
            <color indexed="81"/>
            <rFont val="Tahoma"/>
          </rPr>
          <t>Μαγνησιοχρωμίτης</t>
        </r>
      </text>
    </comment>
    <comment ref="Y24" authorId="0" shapeId="0">
      <text>
        <r>
          <rPr>
            <sz val="8"/>
            <color indexed="81"/>
            <rFont val="Tahoma"/>
          </rPr>
          <t>Χρωμίτης</t>
        </r>
      </text>
    </comment>
    <comment ref="AB25" authorId="0" shapeId="0">
      <text>
        <r>
          <rPr>
            <sz val="8"/>
            <color indexed="81"/>
            <rFont val="Tahoma"/>
          </rPr>
          <t>Ζιρκόνιο</t>
        </r>
      </text>
    </comment>
    <comment ref="B27" authorId="0" shapeId="0">
      <text>
        <r>
          <rPr>
            <sz val="8"/>
            <color indexed="81"/>
            <rFont val="Tahoma"/>
          </rPr>
          <t>Αυτό το Άθροισμα δεν συμπεριλαμβάνει τα ιχνοστοιχεία.</t>
        </r>
      </text>
    </comment>
    <comment ref="H27" authorId="0" shapeId="0">
      <text>
        <r>
          <rPr>
            <sz val="8"/>
            <color indexed="81"/>
            <rFont val="Tahoma"/>
          </rPr>
          <t>Αυτό το άθροισμα περιλαμβάνει και τα ιχνοστοιχεία. Οι τιμές των παραπάνω ιχνοστοιχείων έχουν επίσης επανυπολογιστεί από  ppm σε  % κ.β. των αντιστοίχων οξειδίων.</t>
        </r>
      </text>
    </comment>
    <comment ref="P32" authorId="1" shapeId="0">
      <text>
        <r>
          <rPr>
            <sz val="8"/>
            <color indexed="81"/>
            <rFont val="Tahoma"/>
            <family val="2"/>
            <charset val="161"/>
          </rPr>
          <t>Σε g/cc. Έχει υπολογιστεί με την κατ' εκτίμηση υπολογισμένη θερμοκρασία liquidus που δίνεται παρακάτω. Από McBirney, A.R.., 1993, Igneous Petrology, Second Edition.  Appendix B, in, Jones and Bartlett Publishers, Boston, 508 p.</t>
        </r>
      </text>
    </comment>
    <comment ref="K37" authorId="0" shapeId="0">
      <text>
        <r>
          <rPr>
            <sz val="8"/>
            <color indexed="81"/>
            <rFont val="Tahoma"/>
          </rPr>
          <t>Λαμβάνοντας υπόψη το σφάλμα στρογγυλοποιήσεως (συνήθως +/- 0.10), αυτό το σύνολο πρέπει να είναι ίσο με το σύνολο της Διορθωμένης Ανάλυσης στη στήλη στα αριστεραά. Αν όχι, είτε το σφάλμα στρογγυλοποίησης είναι μεγαλύτερο αυτή τη φορά, ή η σύσταση του πετρώματος σου βρίσκεται εκτός των ορίων που σχεδιάστηκε η CIPW norm, ή υπάρχει κάποιο σφάλμα στο πρόγραμμα.</t>
        </r>
      </text>
    </comment>
    <comment ref="M37" authorId="0" shapeId="0">
      <text>
        <r>
          <rPr>
            <sz val="8"/>
            <color indexed="81"/>
            <rFont val="Tahoma"/>
          </rPr>
          <t>Η norm κατ' όγκο πάντα κανονικοποιείται στο 100%, εκτός σφαλμάτων στρογγυλοποίησης.</t>
        </r>
      </text>
    </comment>
    <comment ref="H38" authorId="1" shapeId="0">
      <text>
        <r>
          <rPr>
            <sz val="8"/>
            <color indexed="81"/>
            <rFont val="Tahoma"/>
            <family val="2"/>
            <charset val="161"/>
          </rPr>
          <t xml:space="preserve">Η μοριακή αναλογία του Fe3+ προς τον ολικό σίδηρο στη σύσταη του πετρώματος που χρησιμοποιήθηκε για τη norm (ειδικά η αναλογία στη Διορθωμένη Ανάλυση). Αυτή η αναλογία είναι ένα μέτρο του βαθμού οξειδώσεως του πετρώματος. Εκφράζεται σε ένα </t>
        </r>
        <r>
          <rPr>
            <sz val="9"/>
            <color indexed="81"/>
            <rFont val="Tahoma"/>
            <family val="2"/>
            <charset val="161"/>
          </rPr>
          <t>μέγιστο του 100%.</t>
        </r>
      </text>
    </comment>
    <comment ref="H39" authorId="1" shapeId="0">
      <text>
        <r>
          <rPr>
            <sz val="8"/>
            <color indexed="81"/>
            <rFont val="Tahoma"/>
            <family val="2"/>
            <charset val="161"/>
          </rPr>
          <t>Η μοριακή αναλογία του Mg προς το Mg και τον ολικό Fe στο πέτρωμα (ειδικά στη Διορθωμένη Ανάλυση). Αυτή η αναλογία είναι ένα μέτρο της διαφοροποίησης του πετρώματος. Αυτή η αναλογία είναι ανεξάρτητη του βαθμού οξείδωσης του Fe στο πέτρωμα. Εκφράζεται σε ποσοστά 100%.</t>
        </r>
      </text>
    </comment>
    <comment ref="J40" authorId="0" shapeId="0">
      <text>
        <r>
          <rPr>
            <sz val="8"/>
            <color indexed="81"/>
            <rFont val="Tahoma"/>
          </rPr>
          <t xml:space="preserve">Η μοριακή αναλογία του Mg προς το Mg και Fe2+ στο πέτρωμα (ειδικά στη Διορθωμένη Ανάλυση). Αυτή η αναλογία είναι ένα μέτρο της διαφοροποίησης του πετρώματος. Εκφράζεται σε ποσοστά 100%.
</t>
        </r>
      </text>
    </comment>
    <comment ref="J41" authorId="0" shapeId="0">
      <text>
        <r>
          <rPr>
            <sz val="8"/>
            <color indexed="81"/>
            <rFont val="Tahoma"/>
          </rPr>
          <t xml:space="preserve">Η μοριακή αναλογία του Mg προς το Mg και τον Fe2+ στα δυνητικά πυριτικά ορυκτά (ολιβίνη, διοψίδιο και υπερσθενή).  Αυτή η αναλογία είναι ένα μέτρο της διαφοροποίησης του πετρώματος. Εκφράζεται σε ποσοστά 100%. </t>
        </r>
      </text>
    </comment>
    <comment ref="J42" authorId="0" shapeId="0">
      <text>
        <r>
          <rPr>
            <sz val="8"/>
            <color indexed="81"/>
            <rFont val="Tahoma"/>
          </rPr>
          <t>Η μοριακή αναλογία του Ca προς το άθροισμα Ca και Na στο πέτρωμα (ειδικά στη Διορθωμένη Ανάλυση). Αυτή η αναλογία είναι ένα μέτρο της διαφοροποίησης του πετρώματος. Εκφράζεται σε ποσοστά 100%.</t>
        </r>
      </text>
    </comment>
    <comment ref="J43" authorId="0" shapeId="0">
      <text>
        <r>
          <rPr>
            <sz val="8"/>
            <color indexed="81"/>
            <rFont val="Tahoma"/>
          </rPr>
          <t>Η μοριακή αναλογία του Ca προς το Ca και Na στα νορμικά ορυκτά του πλαγιοκλάστου αλβίτη και ανορθίτη. Αυτή η αναλογία είναι ένα μέτρο της διαφοροποίησης του πετρώματος. Εκφράζεται σε ποσοστά 100%.</t>
        </r>
      </text>
    </comment>
    <comment ref="J44" authorId="0" shapeId="0">
      <text>
        <r>
          <rPr>
            <sz val="8"/>
            <color indexed="81"/>
            <rFont val="Tahoma"/>
          </rPr>
          <t>Ο Δείκτης Διαφοροποίησης κατά Thornton και Tuttle. Αυτή είναι η αναλογία των νορμικών συστατικών (χαλαζία + αλβίτη + ορθόκλαστο + νεφελίνη + λευκίτη + καλσιλίτη + ανθρακικού νατρίου + θειικού νατρίου) προς το βάρος της ολικής norm.Αυτή η αναλογία είναι ένα μέτρο της διαφοροποίησης του πετρώματος. Σημείωσε τις δύο διαφορετικές τιμές που υπολογίστηκαν για κ.β. και κ.ό. norms.  Εκφράζεται σε ποσοστά %.</t>
        </r>
      </text>
    </comment>
    <comment ref="J45" authorId="0" shapeId="0">
      <text>
        <r>
          <rPr>
            <sz val="8"/>
            <color indexed="81"/>
            <rFont val="Tahoma"/>
          </rPr>
          <t>Η πυκνότητα του στερεού πετρώματος όπως υπολογίζεται από την κ.ό. norm. Εκτός του αποκλεισμού του νερού στη norm (ομολογουμένως ένα ουσιώδες πρόβλημα), αυτή η τιμή είναι πιθανά αρκετά ακριβής.</t>
        </r>
      </text>
    </comment>
    <comment ref="J46" authorId="0" shapeId="0">
      <text>
        <r>
          <rPr>
            <sz val="8"/>
            <color indexed="81"/>
            <rFont val="Tahoma"/>
          </rPr>
          <t>Σε g/cc. Έχει υπολογιστεί με τη παραδοχή ενός ξηρού άνυδρου μάγματος και την κατ' εκτίμηση υπολογισμένη θερμοκρασία liquidus που δίνεται παρακάτω. Από McBirney, A.R.., 1993, Igneous Petrology, Second Edition.  Appendix B, in, Jones and Bartlett Publishers, Boston, 508 p.</t>
        </r>
      </text>
    </comment>
    <comment ref="J47" authorId="0" shapeId="0">
      <text>
        <r>
          <rPr>
            <sz val="8"/>
            <color indexed="81"/>
            <rFont val="Tahoma"/>
          </rPr>
          <t>Ο log του ιξώδους του μάγματος σε Poise, που υπολογίστηκε παραδεχόμενοι άνυδρο μάγμα και τη κατ' εκτίμηση υπολογισμένη θερμοκρασία liquidus που δίνεται παρακάτω. Από McBirney, A.R.., 1993, Igneous Petrology, Second Edition.  Appendix B, in, Jones and Bartlett Publishers, Boston, 508 p.</t>
        </r>
      </text>
    </comment>
    <comment ref="J48" authorId="0" shapeId="0">
      <text>
        <r>
          <rPr>
            <sz val="8"/>
            <color indexed="81"/>
            <rFont val="Tahoma"/>
          </rPr>
          <t>Ο log του ιξώδους του μάγματος σε Poise, που υπολογίστηκε παραδεχόμενοι ένυδρο μάγμα και την κατ' εκτίμηση υπολογισμένη θερμοκρασία liquidus που δίνεται παρακάτω. Το % ποσοστό του Η2Ο στο μάγμα υπολογίστηκε όπως περιγράφεται παρακάτω στο κελί "Εκτιμώμενη περιεκτικότητα Η2Ο". Από McBirney, A.R.., 1993, Igneous Petrology, Second Edition.  Appendix B, in, Jones and Bartlett Publishers, Boston.</t>
        </r>
      </text>
    </comment>
    <comment ref="J49" authorId="0" shapeId="0">
      <text>
        <r>
          <rPr>
            <sz val="8"/>
            <color indexed="81"/>
            <rFont val="Tahoma"/>
          </rPr>
          <t>Υπολογίστηκε χρησιμοποιώντας τη γραμμική εξίσωση που δέχεται θερμοκρασία liquidus 1250 °C για μάγματα με 48% SiO2 και 700 °C για μάγματα με 78% SiO2:  Θερμοκρασία = (- 18.33 * SiO2%) + 2130.  Αυτή η τιμή χρησιμοποιείται μόνο για υπολογισμούς της πυκνότητας των ρευστών και του ιξώδους. Όχι για άλλους πετρογενετικούς λόγους.</t>
        </r>
      </text>
    </comment>
    <comment ref="J50" authorId="0" shapeId="0">
      <text>
        <r>
          <rPr>
            <sz val="8"/>
            <color indexed="81"/>
            <rFont val="Tahoma"/>
          </rPr>
          <t>Αυτή η κατ' εκτίμηση τιμή βασίζεται σε πλουτώνια πετρώματα μέσων πιέσεων, και είναι η 4ης τάξης πολυωνυμική προσέγγιση (fit) μέσω ενός σετ από υποθετικές τιμές που βασίζονται στο περιεχόμενο σε SiO2. Η πολυωνυμική καμπύλη διέρχεται από τα ακόλουθα σημεία %SiO2/%H2O: 35/0.1, 40/0.1, 45/0.2, 50/0.4, 55/0.8, 60/1.6, 65/2.8, 70/3.9, 75/5.0, and 78/6.0. Αυτή η τιμή είναι μονο για υπολογισμούς ιξώδους ένυδρου μάγματος  και δεν πρέπει να χρησιμοποιείται για άλλους πετρογενετικές πράξεις.</t>
        </r>
      </text>
    </comment>
    <comment ref="Q69" authorId="0" shapeId="0">
      <text>
        <r>
          <rPr>
            <sz val="8"/>
            <color indexed="81"/>
            <rFont val="Tahoma"/>
          </rPr>
          <t>Αυτό το Άθροισμα δεν συμπεριλαμβάνει τα ιχνοστοιχεία.</t>
        </r>
      </text>
    </comment>
  </commentList>
</comments>
</file>

<file path=xl/sharedStrings.xml><?xml version="1.0" encoding="utf-8"?>
<sst xmlns="http://schemas.openxmlformats.org/spreadsheetml/2006/main" count="527" uniqueCount="274">
  <si>
    <t>3a</t>
  </si>
  <si>
    <t>3b</t>
  </si>
  <si>
    <t>3g</t>
  </si>
  <si>
    <t>3c</t>
  </si>
  <si>
    <t>3d</t>
  </si>
  <si>
    <t>3e</t>
  </si>
  <si>
    <t>3f</t>
  </si>
  <si>
    <t>3h</t>
  </si>
  <si>
    <t>3i</t>
  </si>
  <si>
    <t>4a 4b</t>
  </si>
  <si>
    <t>4c 4g</t>
  </si>
  <si>
    <t>4d 4e 4f</t>
  </si>
  <si>
    <t>3f cont</t>
  </si>
  <si>
    <t>5a 5b</t>
  </si>
  <si>
    <t>5c 5d</t>
  </si>
  <si>
    <t>7a 7b 7c</t>
  </si>
  <si>
    <t>8a</t>
  </si>
  <si>
    <t>8b</t>
  </si>
  <si>
    <t>8c</t>
  </si>
  <si>
    <t>8d</t>
  </si>
  <si>
    <t>8e</t>
  </si>
  <si>
    <t>8f</t>
  </si>
  <si>
    <t>8g2</t>
  </si>
  <si>
    <t>8g1</t>
  </si>
  <si>
    <t>8h</t>
  </si>
  <si>
    <t>Norm</t>
  </si>
  <si>
    <t>%</t>
  </si>
  <si>
    <t>K2SiO3</t>
  </si>
  <si>
    <t>FeO</t>
  </si>
  <si>
    <t>Na2SiO3</t>
  </si>
  <si>
    <t>MnO</t>
  </si>
  <si>
    <t>MgO</t>
  </si>
  <si>
    <t>CaO</t>
  </si>
  <si>
    <t>S</t>
  </si>
  <si>
    <t>F</t>
  </si>
  <si>
    <t>Cl</t>
  </si>
  <si>
    <t>Sr</t>
  </si>
  <si>
    <t>ppm</t>
  </si>
  <si>
    <t>Ba</t>
  </si>
  <si>
    <t>Ni</t>
  </si>
  <si>
    <t>Cr</t>
  </si>
  <si>
    <t>Zr</t>
  </si>
  <si>
    <t>Na2CO3</t>
  </si>
  <si>
    <t>t</t>
  </si>
  <si>
    <t>Z1</t>
  </si>
  <si>
    <t>C</t>
  </si>
  <si>
    <t>Q1</t>
  </si>
  <si>
    <t>Z2</t>
  </si>
  <si>
    <t>Q2</t>
  </si>
  <si>
    <t>Z3</t>
  </si>
  <si>
    <t>Q3</t>
  </si>
  <si>
    <t>Z4</t>
  </si>
  <si>
    <t>FM</t>
  </si>
  <si>
    <t>Q4</t>
  </si>
  <si>
    <t>Z5</t>
  </si>
  <si>
    <t xml:space="preserve"> = rock density</t>
  </si>
  <si>
    <t>Z6</t>
  </si>
  <si>
    <t>QT</t>
  </si>
  <si>
    <t>Z7</t>
  </si>
  <si>
    <t>X</t>
  </si>
  <si>
    <t>Z8</t>
  </si>
  <si>
    <t>Z9</t>
  </si>
  <si>
    <t>NK</t>
  </si>
  <si>
    <t>Z10</t>
  </si>
  <si>
    <t>Log v</t>
  </si>
  <si>
    <t>Q5</t>
  </si>
  <si>
    <t>Y</t>
  </si>
  <si>
    <t>Ημερομηνία</t>
  </si>
  <si>
    <t>Σύνολο</t>
  </si>
  <si>
    <t>Χαλαζίας</t>
  </si>
  <si>
    <t>Πλαγιόκλαστο</t>
  </si>
  <si>
    <t>Ορθόκλαστο</t>
  </si>
  <si>
    <t>Νεφελίνης</t>
  </si>
  <si>
    <t>Λευκίτης</t>
  </si>
  <si>
    <t>Καλσιλίτης</t>
  </si>
  <si>
    <t>Κορούνδιο</t>
  </si>
  <si>
    <t>Διοψίδιος</t>
  </si>
  <si>
    <t>Υπερσθενής</t>
  </si>
  <si>
    <t>Βολλαστονίτης</t>
  </si>
  <si>
    <t>Ολιβίνης</t>
  </si>
  <si>
    <t>Λαρνίτης</t>
  </si>
  <si>
    <t>Ακμίτης</t>
  </si>
  <si>
    <t>Ρουτίλιο</t>
  </si>
  <si>
    <t>Ιλμενίτης</t>
  </si>
  <si>
    <t>Μαγνητίτης</t>
  </si>
  <si>
    <t>Αιματίτης</t>
  </si>
  <si>
    <t>Απατίτης</t>
  </si>
  <si>
    <t>Ζιρκόνιο</t>
  </si>
  <si>
    <t>Περοβσκίτης</t>
  </si>
  <si>
    <t>Χρωμίτης</t>
  </si>
  <si>
    <t>Τιτανίτης</t>
  </si>
  <si>
    <t>Σιδηροπυρίτης</t>
  </si>
  <si>
    <t>Αλίτης</t>
  </si>
  <si>
    <t>Φθορίτης</t>
  </si>
  <si>
    <t>Ανυδρίτης</t>
  </si>
  <si>
    <t>Ασβεστίτης</t>
  </si>
  <si>
    <t>Διορθ. Συντελ. Βάρους</t>
  </si>
  <si>
    <t>Ανορθίτης</t>
  </si>
  <si>
    <t xml:space="preserve"> =ΜΒ μη F-ούχου απατίτη</t>
  </si>
  <si>
    <t xml:space="preserve"> =ΜΒ F-ούχου απατίτη</t>
  </si>
  <si>
    <t xml:space="preserve"> =ΜΒ απατίτη δείγματος</t>
  </si>
  <si>
    <t>Θεναρδίτης</t>
  </si>
  <si>
    <t>Μαγνησιοχρωμίτης</t>
  </si>
  <si>
    <t>Αλβίτης</t>
  </si>
  <si>
    <t>Πυριτικά ορυκτά Mg</t>
  </si>
  <si>
    <t>ΜΒ FMO</t>
  </si>
  <si>
    <t>An στο Πλαγιόκλαστο</t>
  </si>
  <si>
    <t>Έλεγχος υπολογισμού Norm:</t>
  </si>
  <si>
    <t>% κ.ό.</t>
  </si>
  <si>
    <t>ΒΟΗΘΕΙΑ</t>
  </si>
  <si>
    <t>Ca/(Ca+Na) στο πέτρωμα</t>
  </si>
  <si>
    <t>Δείκτης Διαφοροποίησης</t>
  </si>
  <si>
    <t>Mg/(Mg+Ολικός Fe) στο πέτρωμα</t>
  </si>
  <si>
    <t>Περιοχή υπολογισμού Norm</t>
  </si>
  <si>
    <t>Mορ.</t>
  </si>
  <si>
    <t>βάρη</t>
  </si>
  <si>
    <t>Βήματα υπολογισμού κατά Johannsen, 1931.</t>
  </si>
  <si>
    <t>Στοιχεία που επηρεάζονται στον υπολογισμό</t>
  </si>
  <si>
    <t>Τελικές αναλογίες ορυκτών</t>
  </si>
  <si>
    <t>Υποθετικές αναλογίες ορυκτών</t>
  </si>
  <si>
    <t>Αναλογίες SiO2</t>
  </si>
  <si>
    <t>Μορ.</t>
  </si>
  <si>
    <t>Αναλογ.</t>
  </si>
  <si>
    <t>Υπολογισμοί</t>
  </si>
  <si>
    <t>ΜΒ</t>
  </si>
  <si>
    <t>Ορυκτών</t>
  </si>
  <si>
    <t>% κ.β.</t>
  </si>
  <si>
    <t>Πυκνότητα</t>
  </si>
  <si>
    <t>Περιεκτ. Στη</t>
  </si>
  <si>
    <t>Υπολογισμοί Πυκνότητας</t>
  </si>
  <si>
    <t>κ.β. %</t>
  </si>
  <si>
    <t>Διορθ.%</t>
  </si>
  <si>
    <t>Αναλ. Οξ..</t>
  </si>
  <si>
    <t>Κατ/Οξ.</t>
  </si>
  <si>
    <t>Αναλ. Κατ.</t>
  </si>
  <si>
    <t>Υπολογισμοί ιξώδους, σε άνυδρο ξηρό μάγμα</t>
  </si>
  <si>
    <t>Διορθ. %</t>
  </si>
  <si>
    <t>Κατ/οξ.</t>
  </si>
  <si>
    <t>Αναλ. Κατ. Κανονικοποιημένη στο 1</t>
  </si>
  <si>
    <t>Πρώτοι υπολογισμοί</t>
  </si>
  <si>
    <t>Δεύτεροι υπολογισμοί</t>
  </si>
  <si>
    <t>Υπολογισμοί ιξώδους, σε ένυδρο μάγμα</t>
  </si>
  <si>
    <t>Κατ/οξ</t>
  </si>
  <si>
    <t>Αναλ. Κατ. Κανονικοποιημένες στο 1</t>
  </si>
  <si>
    <t>Άθροισμα</t>
  </si>
  <si>
    <t>Άθροισμα=100%? Y/N</t>
  </si>
  <si>
    <t>Όλος ο Fe ως FeO</t>
  </si>
  <si>
    <t>Na2SO4</t>
  </si>
  <si>
    <r>
      <t>SiO</t>
    </r>
    <r>
      <rPr>
        <b/>
        <vertAlign val="subscript"/>
        <sz val="8"/>
        <rFont val="Tahoma"/>
        <family val="2"/>
        <charset val="161"/>
      </rPr>
      <t>2</t>
    </r>
  </si>
  <si>
    <r>
      <t>TiO</t>
    </r>
    <r>
      <rPr>
        <b/>
        <vertAlign val="subscript"/>
        <sz val="8"/>
        <rFont val="Tahoma"/>
        <family val="2"/>
        <charset val="161"/>
      </rPr>
      <t>2</t>
    </r>
  </si>
  <si>
    <r>
      <t>Al</t>
    </r>
    <r>
      <rPr>
        <b/>
        <vertAlign val="subscript"/>
        <sz val="8"/>
        <rFont val="Tahoma"/>
        <family val="2"/>
        <charset val="161"/>
      </rPr>
      <t>2</t>
    </r>
    <r>
      <rPr>
        <b/>
        <sz val="8"/>
        <rFont val="Tahoma"/>
        <family val="2"/>
        <charset val="161"/>
      </rPr>
      <t>O</t>
    </r>
    <r>
      <rPr>
        <b/>
        <vertAlign val="subscript"/>
        <sz val="8"/>
        <rFont val="Tahoma"/>
        <family val="2"/>
        <charset val="161"/>
      </rPr>
      <t>3</t>
    </r>
  </si>
  <si>
    <r>
      <t>Fe</t>
    </r>
    <r>
      <rPr>
        <b/>
        <vertAlign val="subscript"/>
        <sz val="8"/>
        <rFont val="Tahoma"/>
        <family val="2"/>
        <charset val="161"/>
      </rPr>
      <t>2</t>
    </r>
    <r>
      <rPr>
        <b/>
        <sz val="8"/>
        <rFont val="Tahoma"/>
        <family val="2"/>
        <charset val="161"/>
      </rPr>
      <t>O</t>
    </r>
    <r>
      <rPr>
        <b/>
        <vertAlign val="subscript"/>
        <sz val="8"/>
        <rFont val="Tahoma"/>
        <family val="2"/>
        <charset val="161"/>
      </rPr>
      <t>3</t>
    </r>
  </si>
  <si>
    <r>
      <t>Na</t>
    </r>
    <r>
      <rPr>
        <b/>
        <vertAlign val="subscript"/>
        <sz val="8"/>
        <rFont val="Tahoma"/>
        <family val="2"/>
        <charset val="161"/>
      </rPr>
      <t>2</t>
    </r>
    <r>
      <rPr>
        <b/>
        <sz val="8"/>
        <rFont val="Tahoma"/>
        <family val="2"/>
        <charset val="161"/>
      </rPr>
      <t>O</t>
    </r>
  </si>
  <si>
    <r>
      <t>K</t>
    </r>
    <r>
      <rPr>
        <b/>
        <vertAlign val="subscript"/>
        <sz val="8"/>
        <rFont val="Tahoma"/>
        <family val="2"/>
        <charset val="161"/>
      </rPr>
      <t>2</t>
    </r>
    <r>
      <rPr>
        <b/>
        <sz val="8"/>
        <rFont val="Tahoma"/>
        <family val="2"/>
        <charset val="161"/>
      </rPr>
      <t>O</t>
    </r>
  </si>
  <si>
    <r>
      <t>P</t>
    </r>
    <r>
      <rPr>
        <b/>
        <vertAlign val="subscript"/>
        <sz val="8"/>
        <rFont val="Tahoma"/>
        <family val="2"/>
        <charset val="161"/>
      </rPr>
      <t>2</t>
    </r>
    <r>
      <rPr>
        <b/>
        <sz val="8"/>
        <rFont val="Tahoma"/>
        <family val="2"/>
        <charset val="161"/>
      </rPr>
      <t>O</t>
    </r>
    <r>
      <rPr>
        <b/>
        <vertAlign val="subscript"/>
        <sz val="8"/>
        <rFont val="Tahoma"/>
        <family val="2"/>
        <charset val="161"/>
      </rPr>
      <t>5</t>
    </r>
  </si>
  <si>
    <r>
      <t>CO</t>
    </r>
    <r>
      <rPr>
        <b/>
        <vertAlign val="subscript"/>
        <sz val="8"/>
        <rFont val="Tahoma"/>
        <family val="2"/>
        <charset val="161"/>
      </rPr>
      <t>2</t>
    </r>
  </si>
  <si>
    <r>
      <t>SO</t>
    </r>
    <r>
      <rPr>
        <b/>
        <vertAlign val="subscript"/>
        <sz val="8"/>
        <rFont val="Tahoma"/>
        <family val="2"/>
        <charset val="161"/>
      </rPr>
      <t>3</t>
    </r>
  </si>
  <si>
    <r>
      <t>H</t>
    </r>
    <r>
      <rPr>
        <b/>
        <vertAlign val="subscript"/>
        <sz val="8"/>
        <rFont val="Tahoma"/>
        <family val="2"/>
        <charset val="161"/>
      </rPr>
      <t>2</t>
    </r>
    <r>
      <rPr>
        <b/>
        <sz val="8"/>
        <rFont val="Tahoma"/>
        <family val="2"/>
        <charset val="161"/>
      </rPr>
      <t>O</t>
    </r>
  </si>
  <si>
    <t>Πετρολογικός Τύπος:</t>
  </si>
  <si>
    <t>Κ123</t>
  </si>
  <si>
    <t>Γρανίτης</t>
  </si>
  <si>
    <t>Περιοχή:</t>
  </si>
  <si>
    <t>Καβάλα</t>
  </si>
  <si>
    <t>ΥΠΟΛΟΓΙΣΜΟΣ CIPW NORM ΠΥΡΙΓΕΝΟΥΣ ΠΕΤΡΩΜΑΤΟΣ ΚΑΙ ΧΑΡΑΚΤΗΡΙΣΤΙΚΩΝ ΤΟΥ ΑΝΤΙΣΤΟΙΧΟΥ ΜΑΓΜΑΤΟΣ</t>
  </si>
  <si>
    <t>Ανάλυση Πετρώματος</t>
  </si>
  <si>
    <r>
      <t>Fe</t>
    </r>
    <r>
      <rPr>
        <b/>
        <vertAlign val="superscript"/>
        <sz val="8"/>
        <rFont val="Tahoma"/>
        <family val="2"/>
        <charset val="161"/>
      </rPr>
      <t>3+</t>
    </r>
    <r>
      <rPr>
        <b/>
        <sz val="8"/>
        <rFont val="Tahoma"/>
        <family val="2"/>
        <charset val="161"/>
      </rPr>
      <t>/(Ολικός Fe)</t>
    </r>
  </si>
  <si>
    <t>Διορθωτικοί Παράγοντες</t>
  </si>
  <si>
    <t>Διορθωμένη Ανάλυση</t>
  </si>
  <si>
    <t xml:space="preserve">Δυνητικά Ορυκτά (Norm) </t>
  </si>
  <si>
    <t xml:space="preserve">Norm           % κ.β. </t>
  </si>
  <si>
    <t>Norm       % κ.ό.</t>
  </si>
  <si>
    <t>Ονομασία Δείγματος:</t>
  </si>
  <si>
    <t>Αυτό το πρόγραμμα γράφτηκε από τον Kurt Hollocher, Geology Department, Union College, Schenectady, NY, 12308 και τροποποιήθηκε από τον Καθηγητή Ανδρέα Μαγκανά, Παν/μιο Αθηνών, Τμ. Γεωλογίας και Γεωπεριβάλλοντος, Αθήνα.</t>
  </si>
  <si>
    <t>Επιθυμητό Fe2O3</t>
  </si>
  <si>
    <t>Επιθυμητό FeO</t>
  </si>
  <si>
    <r>
      <t>Mg/(Mg+Fe</t>
    </r>
    <r>
      <rPr>
        <b/>
        <vertAlign val="superscript"/>
        <sz val="8"/>
        <rFont val="Tahoma"/>
        <family val="2"/>
        <charset val="161"/>
      </rPr>
      <t>2+</t>
    </r>
    <r>
      <rPr>
        <b/>
        <sz val="8"/>
        <rFont val="Tahoma"/>
        <family val="2"/>
        <charset val="161"/>
      </rPr>
      <t>) στο πέτρωμα</t>
    </r>
  </si>
  <si>
    <r>
      <t>Mg/(Mg+Fe</t>
    </r>
    <r>
      <rPr>
        <b/>
        <vertAlign val="superscript"/>
        <sz val="8"/>
        <rFont val="Tahoma"/>
        <family val="2"/>
        <charset val="161"/>
      </rPr>
      <t>2+</t>
    </r>
    <r>
      <rPr>
        <b/>
        <sz val="8"/>
        <rFont val="Tahoma"/>
        <family val="2"/>
        <charset val="161"/>
      </rPr>
      <t>) στα πυριτικά ορυκτά</t>
    </r>
  </si>
  <si>
    <r>
      <t>Fe</t>
    </r>
    <r>
      <rPr>
        <b/>
        <vertAlign val="superscript"/>
        <sz val="8"/>
        <rFont val="Tahoma"/>
        <family val="2"/>
        <charset val="161"/>
      </rPr>
      <t>3+</t>
    </r>
    <r>
      <rPr>
        <b/>
        <sz val="8"/>
        <rFont val="Tahoma"/>
        <family val="2"/>
        <charset val="161"/>
      </rPr>
      <t>/(Ολικός Fe) στο πέτρωμα</t>
    </r>
  </si>
  <si>
    <t>Ποσοστό An στο πλαγιόκλαστο</t>
  </si>
  <si>
    <t>Πυκνότητα Πετρώματος, g/cc</t>
  </si>
  <si>
    <t>Πυκνότητα Μάγματος, g/cc</t>
  </si>
  <si>
    <t>Iξώδες Άνυδρου Μάγματος, Poise</t>
  </si>
  <si>
    <t>Iξώδες Ένυδρου Μάγματος, Poise</t>
  </si>
  <si>
    <t>Εκτιμώμενη θερμοκρασία liquidus, °C</t>
  </si>
  <si>
    <r>
      <t>Εκτιμώμενη περιεκτικότητα H</t>
    </r>
    <r>
      <rPr>
        <b/>
        <vertAlign val="subscript"/>
        <sz val="8"/>
        <rFont val="Tahoma"/>
        <family val="2"/>
        <charset val="161"/>
      </rPr>
      <t>2</t>
    </r>
    <r>
      <rPr>
        <b/>
        <sz val="8"/>
        <rFont val="Tahoma"/>
        <family val="2"/>
        <charset val="161"/>
      </rPr>
      <t>O, %κβ.</t>
    </r>
  </si>
  <si>
    <t>SiO2</t>
  </si>
  <si>
    <t>TiO2</t>
  </si>
  <si>
    <t>Al2O3</t>
  </si>
  <si>
    <t>Fe2O3</t>
  </si>
  <si>
    <t>Na2O</t>
  </si>
  <si>
    <t>K2O</t>
  </si>
  <si>
    <t>P2O5</t>
  </si>
  <si>
    <t>CO2</t>
  </si>
  <si>
    <t>SO3</t>
  </si>
  <si>
    <t>Ανάλυση Πετρώματος επανυπολογισμένη στο 100%</t>
  </si>
  <si>
    <r>
      <t>Y</t>
    </r>
    <r>
      <rPr>
        <b/>
        <vertAlign val="subscript"/>
        <sz val="10"/>
        <rFont val="Arial"/>
        <family val="2"/>
      </rPr>
      <t>i</t>
    </r>
  </si>
  <si>
    <r>
      <t>X</t>
    </r>
    <r>
      <rPr>
        <b/>
        <vertAlign val="subscript"/>
        <sz val="10"/>
        <rFont val="Arial"/>
        <family val="2"/>
      </rPr>
      <t>i</t>
    </r>
  </si>
  <si>
    <r>
      <t>T</t>
    </r>
    <r>
      <rPr>
        <b/>
        <vertAlign val="superscript"/>
        <sz val="10"/>
        <rFont val="Arial"/>
        <family val="2"/>
      </rPr>
      <t>o</t>
    </r>
    <r>
      <rPr>
        <b/>
        <sz val="10"/>
        <rFont val="Arial"/>
        <family val="2"/>
      </rPr>
      <t>C =</t>
    </r>
  </si>
  <si>
    <r>
      <t>s</t>
    </r>
    <r>
      <rPr>
        <b/>
        <vertAlign val="subscript"/>
        <sz val="10"/>
        <rFont val="Arial Narrow"/>
        <family val="2"/>
      </rPr>
      <t>i</t>
    </r>
    <r>
      <rPr>
        <b/>
        <vertAlign val="superscript"/>
        <sz val="10"/>
        <rFont val="Arial Narrow"/>
        <family val="2"/>
      </rPr>
      <t>o</t>
    </r>
  </si>
  <si>
    <r>
      <t>s</t>
    </r>
    <r>
      <rPr>
        <b/>
        <vertAlign val="subscript"/>
        <sz val="10"/>
        <rFont val="Arial Narrow"/>
        <family val="2"/>
      </rPr>
      <t>i</t>
    </r>
    <r>
      <rPr>
        <b/>
        <vertAlign val="superscript"/>
        <sz val="10"/>
        <rFont val="Arial Narrow"/>
        <family val="2"/>
      </rPr>
      <t xml:space="preserve">o </t>
    </r>
    <r>
      <rPr>
        <b/>
        <sz val="10"/>
        <rFont val="Arial Narrow"/>
        <family val="2"/>
      </rPr>
      <t>* X</t>
    </r>
    <r>
      <rPr>
        <b/>
        <vertAlign val="subscript"/>
        <sz val="10"/>
        <rFont val="Arial Narrow"/>
        <family val="2"/>
      </rPr>
      <t>SiO2</t>
    </r>
  </si>
  <si>
    <r>
      <t>X</t>
    </r>
    <r>
      <rPr>
        <b/>
        <vertAlign val="subscript"/>
        <sz val="10"/>
        <rFont val="Arial Narrow"/>
        <family val="2"/>
      </rPr>
      <t xml:space="preserve">i </t>
    </r>
    <r>
      <rPr>
        <b/>
        <sz val="10"/>
        <rFont val="Arial Narrow"/>
        <family val="2"/>
      </rPr>
      <t>( s</t>
    </r>
    <r>
      <rPr>
        <b/>
        <vertAlign val="subscript"/>
        <sz val="10"/>
        <rFont val="Arial Narrow"/>
        <family val="2"/>
      </rPr>
      <t>i</t>
    </r>
    <r>
      <rPr>
        <b/>
        <vertAlign val="superscript"/>
        <sz val="10"/>
        <rFont val="Arial Narrow"/>
        <family val="2"/>
      </rPr>
      <t xml:space="preserve">o </t>
    </r>
    <r>
      <rPr>
        <b/>
        <sz val="10"/>
        <rFont val="Arial Narrow"/>
        <family val="2"/>
      </rPr>
      <t>* X</t>
    </r>
    <r>
      <rPr>
        <b/>
        <vertAlign val="subscript"/>
        <sz val="10"/>
        <rFont val="Arial Narrow"/>
        <family val="2"/>
      </rPr>
      <t>SiO2</t>
    </r>
    <r>
      <rPr>
        <b/>
        <sz val="10"/>
        <rFont val="Arial Narrow"/>
        <family val="2"/>
      </rPr>
      <t>)</t>
    </r>
  </si>
  <si>
    <r>
      <t>SiO</t>
    </r>
    <r>
      <rPr>
        <vertAlign val="subscript"/>
        <sz val="10"/>
        <rFont val="Arial"/>
        <family val="2"/>
      </rPr>
      <t>2</t>
    </r>
  </si>
  <si>
    <r>
      <t>TiO</t>
    </r>
    <r>
      <rPr>
        <vertAlign val="subscript"/>
        <sz val="10"/>
        <rFont val="Arial"/>
        <family val="2"/>
      </rPr>
      <t>2</t>
    </r>
  </si>
  <si>
    <r>
      <t>Al</t>
    </r>
    <r>
      <rPr>
        <vertAlign val="subscript"/>
        <sz val="10"/>
        <rFont val="Arial"/>
        <family val="2"/>
      </rPr>
      <t>2</t>
    </r>
    <r>
      <rPr>
        <sz val="8"/>
        <rFont val="MS Sans Serif"/>
      </rPr>
      <t>O</t>
    </r>
    <r>
      <rPr>
        <vertAlign val="subscript"/>
        <sz val="10"/>
        <rFont val="Arial"/>
        <family val="2"/>
      </rPr>
      <t>3</t>
    </r>
  </si>
  <si>
    <r>
      <t>Fe</t>
    </r>
    <r>
      <rPr>
        <vertAlign val="subscript"/>
        <sz val="10"/>
        <rFont val="Arial"/>
        <family val="2"/>
      </rPr>
      <t>2</t>
    </r>
    <r>
      <rPr>
        <sz val="8"/>
        <rFont val="MS Sans Serif"/>
      </rPr>
      <t>O</t>
    </r>
    <r>
      <rPr>
        <vertAlign val="subscript"/>
        <sz val="10"/>
        <rFont val="Arial"/>
        <family val="2"/>
      </rPr>
      <t>3</t>
    </r>
  </si>
  <si>
    <r>
      <t>Na</t>
    </r>
    <r>
      <rPr>
        <vertAlign val="subscript"/>
        <sz val="10"/>
        <rFont val="Arial"/>
        <family val="2"/>
      </rPr>
      <t>2</t>
    </r>
    <r>
      <rPr>
        <sz val="8"/>
        <rFont val="MS Sans Serif"/>
      </rPr>
      <t>O</t>
    </r>
  </si>
  <si>
    <r>
      <t>K</t>
    </r>
    <r>
      <rPr>
        <vertAlign val="subscript"/>
        <sz val="10"/>
        <rFont val="Arial"/>
        <family val="2"/>
      </rPr>
      <t>2</t>
    </r>
    <r>
      <rPr>
        <sz val="8"/>
        <rFont val="MS Sans Serif"/>
      </rPr>
      <t>O</t>
    </r>
  </si>
  <si>
    <r>
      <t>P</t>
    </r>
    <r>
      <rPr>
        <vertAlign val="subscript"/>
        <sz val="10"/>
        <rFont val="Arial"/>
        <family val="2"/>
      </rPr>
      <t>2</t>
    </r>
    <r>
      <rPr>
        <sz val="8"/>
        <rFont val="MS Sans Serif"/>
      </rPr>
      <t>O</t>
    </r>
    <r>
      <rPr>
        <vertAlign val="subscript"/>
        <sz val="10"/>
        <rFont val="Arial"/>
        <family val="2"/>
      </rPr>
      <t>5</t>
    </r>
  </si>
  <si>
    <r>
      <t>H</t>
    </r>
    <r>
      <rPr>
        <vertAlign val="subscript"/>
        <sz val="10"/>
        <rFont val="Arial"/>
        <family val="2"/>
      </rPr>
      <t>2</t>
    </r>
    <r>
      <rPr>
        <sz val="8"/>
        <rFont val="MS Sans Serif"/>
      </rPr>
      <t>O</t>
    </r>
  </si>
  <si>
    <t>g/100g</t>
  </si>
  <si>
    <t>g/mol</t>
  </si>
  <si>
    <t>mol/100g</t>
  </si>
  <si>
    <t>mol/1 mol</t>
  </si>
  <si>
    <r>
      <t>h</t>
    </r>
    <r>
      <rPr>
        <sz val="8"/>
        <rFont val="MS Sans Serif"/>
      </rPr>
      <t xml:space="preserve"> =</t>
    </r>
  </si>
  <si>
    <t>Pa sec</t>
  </si>
  <si>
    <t>P (MPa) =</t>
  </si>
  <si>
    <r>
      <t>V</t>
    </r>
    <r>
      <rPr>
        <b/>
        <vertAlign val="subscript"/>
        <sz val="10"/>
        <rFont val="Arial"/>
        <family val="2"/>
      </rPr>
      <t>i</t>
    </r>
  </si>
  <si>
    <t>dV/dT</t>
  </si>
  <si>
    <t>dV/dP</t>
  </si>
  <si>
    <r>
      <t>Y</t>
    </r>
    <r>
      <rPr>
        <b/>
        <vertAlign val="subscript"/>
        <sz val="10"/>
        <rFont val="Arial"/>
        <family val="2"/>
      </rPr>
      <t>i</t>
    </r>
    <r>
      <rPr>
        <b/>
        <sz val="10"/>
        <rFont val="Arial"/>
        <family val="2"/>
      </rPr>
      <t>V</t>
    </r>
    <r>
      <rPr>
        <b/>
        <vertAlign val="subscript"/>
        <sz val="10"/>
        <rFont val="Arial"/>
        <family val="2"/>
      </rPr>
      <t>i</t>
    </r>
  </si>
  <si>
    <r>
      <t>V</t>
    </r>
    <r>
      <rPr>
        <vertAlign val="subscript"/>
        <sz val="10"/>
        <rFont val="Arial"/>
        <family val="2"/>
      </rPr>
      <t>liq</t>
    </r>
    <r>
      <rPr>
        <sz val="8"/>
        <rFont val="MS Sans Serif"/>
      </rPr>
      <t xml:space="preserve"> = </t>
    </r>
    <r>
      <rPr>
        <sz val="10"/>
        <rFont val="Symbol"/>
        <family val="1"/>
        <charset val="2"/>
      </rPr>
      <t>S</t>
    </r>
    <r>
      <rPr>
        <sz val="8"/>
        <rFont val="MS Sans Serif"/>
      </rPr>
      <t>Y</t>
    </r>
    <r>
      <rPr>
        <vertAlign val="subscript"/>
        <sz val="10"/>
        <rFont val="Arial"/>
        <family val="2"/>
      </rPr>
      <t>i</t>
    </r>
    <r>
      <rPr>
        <sz val="8"/>
        <rFont val="MS Sans Serif"/>
      </rPr>
      <t>V</t>
    </r>
    <r>
      <rPr>
        <vertAlign val="subscript"/>
        <sz val="10"/>
        <rFont val="Arial"/>
        <family val="2"/>
      </rPr>
      <t>i</t>
    </r>
    <r>
      <rPr>
        <sz val="8"/>
        <rFont val="MS Sans Serif"/>
      </rPr>
      <t xml:space="preserve"> =</t>
    </r>
  </si>
  <si>
    <r>
      <t>cm</t>
    </r>
    <r>
      <rPr>
        <vertAlign val="superscript"/>
        <sz val="10"/>
        <rFont val="Arial"/>
        <family val="2"/>
      </rPr>
      <t>3</t>
    </r>
    <r>
      <rPr>
        <sz val="8"/>
        <rFont val="MS Sans Serif"/>
      </rPr>
      <t>/mol</t>
    </r>
  </si>
  <si>
    <r>
      <t>10</t>
    </r>
    <r>
      <rPr>
        <vertAlign val="superscript"/>
        <sz val="10"/>
        <rFont val="Arial"/>
        <family val="2"/>
      </rPr>
      <t>-3</t>
    </r>
    <r>
      <rPr>
        <sz val="8"/>
        <rFont val="MS Sans Serif"/>
      </rPr>
      <t>cm</t>
    </r>
    <r>
      <rPr>
        <vertAlign val="superscript"/>
        <sz val="10"/>
        <rFont val="Arial"/>
        <family val="2"/>
      </rPr>
      <t>3</t>
    </r>
  </si>
  <si>
    <r>
      <t>cm</t>
    </r>
    <r>
      <rPr>
        <vertAlign val="superscript"/>
        <sz val="10"/>
        <rFont val="Arial"/>
        <family val="2"/>
      </rPr>
      <t>3</t>
    </r>
    <r>
      <rPr>
        <sz val="10"/>
        <rFont val="Arial"/>
        <family val="2"/>
      </rPr>
      <t>/100g</t>
    </r>
  </si>
  <si>
    <t>mol K</t>
  </si>
  <si>
    <t>mol MPa</t>
  </si>
  <si>
    <t>Υπολογισμός Πυκνότητας Μάγματος σύμφωνα με την μέθοδο των Bottinga and Weill (1970)</t>
  </si>
  <si>
    <t>Οξείδια</t>
  </si>
  <si>
    <t>Μονάδες</t>
  </si>
  <si>
    <t>Μορ. Αναλ.</t>
  </si>
  <si>
    <r>
      <t xml:space="preserve">στους 1400 </t>
    </r>
    <r>
      <rPr>
        <b/>
        <sz val="10"/>
        <rFont val="Arial"/>
        <family val="2"/>
        <charset val="161"/>
      </rPr>
      <t>°</t>
    </r>
    <r>
      <rPr>
        <b/>
        <sz val="10"/>
        <rFont val="Arial"/>
        <family val="2"/>
      </rPr>
      <t>C</t>
    </r>
  </si>
  <si>
    <r>
      <t xml:space="preserve">T </t>
    </r>
    <r>
      <rPr>
        <b/>
        <vertAlign val="superscript"/>
        <sz val="10"/>
        <rFont val="Arial"/>
        <family val="2"/>
      </rPr>
      <t>o</t>
    </r>
    <r>
      <rPr>
        <b/>
        <sz val="10"/>
        <rFont val="Arial"/>
        <family val="2"/>
        <charset val="161"/>
      </rPr>
      <t>C =</t>
    </r>
  </si>
  <si>
    <r>
      <t>V</t>
    </r>
    <r>
      <rPr>
        <b/>
        <vertAlign val="subscript"/>
        <sz val="10"/>
        <rFont val="Arial"/>
        <family val="2"/>
      </rPr>
      <t>i</t>
    </r>
    <r>
      <rPr>
        <b/>
        <sz val="10"/>
        <rFont val="Arial"/>
        <family val="2"/>
      </rPr>
      <t xml:space="preserve"> σε T&amp;P</t>
    </r>
  </si>
  <si>
    <r>
      <t>Πυκνότητα (g/cm</t>
    </r>
    <r>
      <rPr>
        <b/>
        <vertAlign val="superscript"/>
        <sz val="10"/>
        <rFont val="Arial"/>
        <family val="2"/>
      </rPr>
      <t>3</t>
    </r>
    <r>
      <rPr>
        <b/>
        <sz val="10"/>
        <rFont val="Arial"/>
        <family val="2"/>
      </rPr>
      <t>) =</t>
    </r>
  </si>
  <si>
    <t>ένυδρο</t>
  </si>
  <si>
    <t>άνυδρο</t>
  </si>
  <si>
    <r>
      <t>Δεδομένα όγκου και θερμικής διαστολής από Lange &amp; Carmichael (1987) - H</t>
    </r>
    <r>
      <rPr>
        <vertAlign val="subscript"/>
        <sz val="9"/>
        <rFont val="Arial"/>
        <family val="2"/>
      </rPr>
      <t>2</t>
    </r>
    <r>
      <rPr>
        <sz val="9"/>
        <rFont val="Arial"/>
        <family val="2"/>
      </rPr>
      <t>O από Lange (1994)</t>
    </r>
  </si>
  <si>
    <t>Δεδομένα συμπιεστότητας από Kress &amp; Carmichael (1991)</t>
  </si>
  <si>
    <t>Πρόγραμμα τροποποιημένο από Winter 2013</t>
  </si>
  <si>
    <t>Βάλε την ανάλυση του πετρώματος (μάγματος), τη θερμοκρασία και την πίεση στα αντίστοιχα κελία που έχουν κίτρινο χρώμα</t>
  </si>
  <si>
    <r>
      <t>Actual Mol. Fraction H</t>
    </r>
    <r>
      <rPr>
        <b/>
        <vertAlign val="subscript"/>
        <sz val="10"/>
        <rFont val="Arial"/>
        <family val="2"/>
      </rPr>
      <t>2</t>
    </r>
    <r>
      <rPr>
        <b/>
        <sz val="10"/>
        <rFont val="Arial"/>
        <family val="2"/>
      </rPr>
      <t>O:</t>
    </r>
  </si>
  <si>
    <r>
      <t>Mol. Fract. H</t>
    </r>
    <r>
      <rPr>
        <vertAlign val="subscript"/>
        <sz val="10"/>
        <rFont val="Arial"/>
        <family val="2"/>
      </rPr>
      <t>2</t>
    </r>
    <r>
      <rPr>
        <sz val="8"/>
        <rFont val="MS Sans Serif"/>
      </rPr>
      <t>O = X</t>
    </r>
    <r>
      <rPr>
        <vertAlign val="subscript"/>
        <sz val="10"/>
        <rFont val="Arial"/>
        <family val="2"/>
      </rPr>
      <t>w</t>
    </r>
    <r>
      <rPr>
        <vertAlign val="superscript"/>
        <sz val="10"/>
        <rFont val="Arial"/>
        <family val="2"/>
      </rPr>
      <t>m</t>
    </r>
    <r>
      <rPr>
        <sz val="8"/>
        <rFont val="MS Sans Serif"/>
      </rPr>
      <t>/(1-X</t>
    </r>
    <r>
      <rPr>
        <vertAlign val="subscript"/>
        <sz val="10"/>
        <rFont val="Arial"/>
        <family val="2"/>
      </rPr>
      <t>w</t>
    </r>
    <r>
      <rPr>
        <vertAlign val="superscript"/>
        <sz val="10"/>
        <rFont val="Arial"/>
        <family val="2"/>
      </rPr>
      <t>m</t>
    </r>
    <r>
      <rPr>
        <sz val="8"/>
        <rFont val="MS Sans Serif"/>
      </rPr>
      <t>) = 1 + M'</t>
    </r>
    <r>
      <rPr>
        <vertAlign val="subscript"/>
        <sz val="10"/>
        <rFont val="Arial"/>
        <family val="2"/>
      </rPr>
      <t>e</t>
    </r>
    <r>
      <rPr>
        <sz val="10"/>
        <rFont val="Symbol"/>
        <family val="1"/>
        <charset val="2"/>
      </rPr>
      <t>D</t>
    </r>
    <r>
      <rPr>
        <sz val="8"/>
        <rFont val="MS Sans Serif"/>
      </rPr>
      <t>W</t>
    </r>
    <r>
      <rPr>
        <vertAlign val="subscript"/>
        <sz val="10"/>
        <rFont val="Arial"/>
        <family val="2"/>
      </rPr>
      <t>w</t>
    </r>
    <r>
      <rPr>
        <vertAlign val="superscript"/>
        <sz val="10"/>
        <rFont val="Arial"/>
        <family val="2"/>
      </rPr>
      <t>m</t>
    </r>
    <r>
      <rPr>
        <sz val="10"/>
        <rFont val="Arial"/>
        <family val="2"/>
      </rPr>
      <t>*</t>
    </r>
    <r>
      <rPr>
        <sz val="8"/>
        <rFont val="MS Sans Serif"/>
      </rPr>
      <t>(M.W.</t>
    </r>
    <r>
      <rPr>
        <vertAlign val="subscript"/>
        <sz val="10"/>
        <rFont val="Arial"/>
        <family val="2"/>
      </rPr>
      <t>H2O</t>
    </r>
    <r>
      <rPr>
        <sz val="10"/>
        <rFont val="Arial"/>
        <family val="2"/>
      </rPr>
      <t>*</t>
    </r>
    <r>
      <rPr>
        <sz val="8"/>
        <rFont val="MS Sans Serif"/>
      </rPr>
      <t>(1-W</t>
    </r>
    <r>
      <rPr>
        <vertAlign val="subscript"/>
        <sz val="10"/>
        <rFont val="Arial"/>
        <family val="2"/>
      </rPr>
      <t>w</t>
    </r>
    <r>
      <rPr>
        <vertAlign val="superscript"/>
        <sz val="10"/>
        <rFont val="Arial"/>
        <family val="2"/>
      </rPr>
      <t>m</t>
    </r>
    <r>
      <rPr>
        <sz val="8"/>
        <rFont val="MS Sans Serif"/>
      </rPr>
      <t>)) =</t>
    </r>
  </si>
  <si>
    <r>
      <t>D</t>
    </r>
    <r>
      <rPr>
        <sz val="8"/>
        <rFont val="MS Sans Serif"/>
      </rPr>
      <t>W</t>
    </r>
    <r>
      <rPr>
        <vertAlign val="subscript"/>
        <sz val="10"/>
        <rFont val="Arial"/>
        <family val="2"/>
      </rPr>
      <t>w</t>
    </r>
    <r>
      <rPr>
        <vertAlign val="superscript"/>
        <sz val="10"/>
        <rFont val="Arial"/>
        <family val="2"/>
      </rPr>
      <t xml:space="preserve">m </t>
    </r>
    <r>
      <rPr>
        <sz val="8"/>
        <rFont val="MS Sans Serif"/>
      </rPr>
      <t xml:space="preserve"> =</t>
    </r>
  </si>
  <si>
    <r>
      <t>M</t>
    </r>
    <r>
      <rPr>
        <vertAlign val="subscript"/>
        <sz val="10"/>
        <rFont val="Arial"/>
        <family val="2"/>
      </rPr>
      <t>e</t>
    </r>
    <r>
      <rPr>
        <sz val="8"/>
        <rFont val="MS Sans Serif"/>
      </rPr>
      <t xml:space="preserve"> =</t>
    </r>
  </si>
  <si>
    <r>
      <t>X</t>
    </r>
    <r>
      <rPr>
        <b/>
        <vertAlign val="subscript"/>
        <sz val="10"/>
        <rFont val="Arial"/>
        <family val="2"/>
      </rPr>
      <t>w</t>
    </r>
    <r>
      <rPr>
        <b/>
        <vertAlign val="superscript"/>
        <sz val="10"/>
        <rFont val="Arial"/>
        <family val="2"/>
      </rPr>
      <t>m</t>
    </r>
    <r>
      <rPr>
        <b/>
        <sz val="10"/>
        <rFont val="Arial"/>
        <family val="2"/>
        <charset val="161"/>
      </rPr>
      <t xml:space="preserve"> </t>
    </r>
    <r>
      <rPr>
        <b/>
        <sz val="10"/>
        <rFont val="Symbol"/>
        <family val="1"/>
        <charset val="2"/>
      </rPr>
      <t>&gt;</t>
    </r>
    <r>
      <rPr>
        <b/>
        <sz val="10"/>
        <rFont val="Arial"/>
        <family val="2"/>
        <charset val="161"/>
      </rPr>
      <t xml:space="preserve"> 0.5:</t>
    </r>
  </si>
  <si>
    <r>
      <t>Mol. Fract. H</t>
    </r>
    <r>
      <rPr>
        <vertAlign val="subscript"/>
        <sz val="10"/>
        <rFont val="Arial"/>
        <family val="2"/>
      </rPr>
      <t>2</t>
    </r>
    <r>
      <rPr>
        <sz val="8"/>
        <rFont val="MS Sans Serif"/>
      </rPr>
      <t>O = X</t>
    </r>
    <r>
      <rPr>
        <vertAlign val="subscript"/>
        <sz val="10"/>
        <rFont val="Arial"/>
        <family val="2"/>
      </rPr>
      <t>w</t>
    </r>
    <r>
      <rPr>
        <vertAlign val="superscript"/>
        <sz val="10"/>
        <rFont val="Arial"/>
        <family val="2"/>
      </rPr>
      <t>m</t>
    </r>
    <r>
      <rPr>
        <sz val="8"/>
        <rFont val="MS Sans Serif"/>
      </rPr>
      <t>/(1-X</t>
    </r>
    <r>
      <rPr>
        <vertAlign val="subscript"/>
        <sz val="10"/>
        <rFont val="Arial"/>
        <family val="2"/>
      </rPr>
      <t>w</t>
    </r>
    <r>
      <rPr>
        <vertAlign val="superscript"/>
        <sz val="10"/>
        <rFont val="Arial"/>
        <family val="2"/>
      </rPr>
      <t>m</t>
    </r>
    <r>
      <rPr>
        <sz val="8"/>
        <rFont val="MS Sans Serif"/>
      </rPr>
      <t>) = M</t>
    </r>
    <r>
      <rPr>
        <vertAlign val="subscript"/>
        <sz val="10"/>
        <rFont val="Arial"/>
        <family val="2"/>
      </rPr>
      <t>e</t>
    </r>
    <r>
      <rPr>
        <sz val="8"/>
        <rFont val="MS Sans Serif"/>
      </rPr>
      <t>W</t>
    </r>
    <r>
      <rPr>
        <vertAlign val="subscript"/>
        <sz val="10"/>
        <rFont val="Arial"/>
        <family val="2"/>
      </rPr>
      <t>w</t>
    </r>
    <r>
      <rPr>
        <vertAlign val="superscript"/>
        <sz val="10"/>
        <rFont val="Arial"/>
        <family val="2"/>
      </rPr>
      <t>m</t>
    </r>
    <r>
      <rPr>
        <sz val="10"/>
        <rFont val="Arial"/>
        <family val="2"/>
      </rPr>
      <t>*</t>
    </r>
    <r>
      <rPr>
        <sz val="8"/>
        <rFont val="MS Sans Serif"/>
      </rPr>
      <t>(M.W.</t>
    </r>
    <r>
      <rPr>
        <vertAlign val="subscript"/>
        <sz val="10"/>
        <rFont val="Arial"/>
        <family val="2"/>
      </rPr>
      <t>H2O</t>
    </r>
    <r>
      <rPr>
        <sz val="10"/>
        <rFont val="Arial"/>
        <family val="2"/>
      </rPr>
      <t>*</t>
    </r>
    <r>
      <rPr>
        <sz val="8"/>
        <rFont val="MS Sans Serif"/>
      </rPr>
      <t>(1-W</t>
    </r>
    <r>
      <rPr>
        <vertAlign val="subscript"/>
        <sz val="10"/>
        <rFont val="Arial"/>
        <family val="2"/>
      </rPr>
      <t>w</t>
    </r>
    <r>
      <rPr>
        <vertAlign val="superscript"/>
        <sz val="10"/>
        <rFont val="Arial"/>
        <family val="2"/>
      </rPr>
      <t>m</t>
    </r>
    <r>
      <rPr>
        <sz val="8"/>
        <rFont val="MS Sans Serif"/>
      </rPr>
      <t>)) =</t>
    </r>
  </si>
  <si>
    <r>
      <t>X</t>
    </r>
    <r>
      <rPr>
        <b/>
        <vertAlign val="subscript"/>
        <sz val="10"/>
        <rFont val="Arial"/>
        <family val="2"/>
      </rPr>
      <t>w</t>
    </r>
    <r>
      <rPr>
        <b/>
        <vertAlign val="superscript"/>
        <sz val="10"/>
        <rFont val="Arial"/>
        <family val="2"/>
      </rPr>
      <t>m</t>
    </r>
    <r>
      <rPr>
        <b/>
        <sz val="10"/>
        <rFont val="Arial"/>
        <family val="2"/>
        <charset val="161"/>
      </rPr>
      <t xml:space="preserve"> </t>
    </r>
    <r>
      <rPr>
        <b/>
        <sz val="10"/>
        <rFont val="Symbol"/>
        <family val="1"/>
        <charset val="2"/>
      </rPr>
      <t>£</t>
    </r>
    <r>
      <rPr>
        <b/>
        <sz val="10"/>
        <rFont val="Arial"/>
        <family val="2"/>
        <charset val="161"/>
      </rPr>
      <t xml:space="preserve"> 0.5:</t>
    </r>
  </si>
  <si>
    <t>Anhydrous Totals:</t>
  </si>
  <si>
    <t># anions</t>
  </si>
  <si>
    <t>Cat Prop</t>
  </si>
  <si>
    <t>Mol Prop</t>
  </si>
  <si>
    <t>Mol Wt</t>
  </si>
  <si>
    <t>Wt% Ox</t>
  </si>
  <si>
    <r>
      <t>Calculation of Mol Fraction of H</t>
    </r>
    <r>
      <rPr>
        <vertAlign val="subscript"/>
        <sz val="10"/>
        <rFont val="Arial"/>
        <family val="2"/>
      </rPr>
      <t>2</t>
    </r>
    <r>
      <rPr>
        <sz val="8"/>
        <rFont val="MS Sans Serif"/>
      </rPr>
      <t xml:space="preserve">O on an 8-Oxygen basis after the method of Burnham (1979).         </t>
    </r>
    <r>
      <rPr>
        <sz val="8"/>
        <rFont val="Arial"/>
        <family val="2"/>
      </rPr>
      <t>In Yoder, H. S. Jr., (ed.), The Evolution of Igneous Rocks. Princeton University Press, Princeton, N. J., 439-482.</t>
    </r>
  </si>
  <si>
    <r>
      <t xml:space="preserve">Υπολογισμός Ιξώδους Μαγμάτων με βάση τη μέθοδο του Shaw (1972) </t>
    </r>
    <r>
      <rPr>
        <sz val="10"/>
        <rFont val="Arial"/>
        <family val="2"/>
      </rPr>
      <t>A. J. Sci., 272, 870-893.</t>
    </r>
  </si>
  <si>
    <r>
      <t xml:space="preserve">Μέση κλίση (s) = </t>
    </r>
    <r>
      <rPr>
        <sz val="10"/>
        <rFont val="Symbol"/>
        <family val="1"/>
        <charset val="2"/>
      </rPr>
      <t>S</t>
    </r>
    <r>
      <rPr>
        <sz val="8"/>
        <rFont val="MS Sans Serif"/>
      </rPr>
      <t>Xi ( s</t>
    </r>
    <r>
      <rPr>
        <vertAlign val="subscript"/>
        <sz val="10"/>
        <rFont val="Arial"/>
        <family val="2"/>
      </rPr>
      <t>i</t>
    </r>
    <r>
      <rPr>
        <vertAlign val="superscript"/>
        <sz val="10"/>
        <rFont val="Arial"/>
        <family val="2"/>
      </rPr>
      <t>o</t>
    </r>
    <r>
      <rPr>
        <sz val="8"/>
        <rFont val="MS Sans Serif"/>
      </rPr>
      <t xml:space="preserve"> * X</t>
    </r>
    <r>
      <rPr>
        <vertAlign val="subscript"/>
        <sz val="10"/>
        <rFont val="Arial"/>
        <family val="2"/>
      </rPr>
      <t>SiO2</t>
    </r>
    <r>
      <rPr>
        <sz val="8"/>
        <rFont val="MS Sans Serif"/>
      </rPr>
      <t>)/(1-X</t>
    </r>
    <r>
      <rPr>
        <vertAlign val="subscript"/>
        <sz val="10"/>
        <rFont val="Arial"/>
        <family val="2"/>
      </rPr>
      <t>SiO2</t>
    </r>
    <r>
      <rPr>
        <sz val="8"/>
        <rFont val="MS Sans Serif"/>
      </rPr>
      <t>) =</t>
    </r>
  </si>
  <si>
    <r>
      <t xml:space="preserve">Σε </t>
    </r>
    <r>
      <rPr>
        <sz val="10"/>
        <rFont val="Symbol"/>
        <family val="1"/>
        <charset val="2"/>
      </rPr>
      <t>h</t>
    </r>
    <r>
      <rPr>
        <sz val="8"/>
        <rFont val="MS Sans Serif"/>
      </rPr>
      <t xml:space="preserve"> = κλίση*(10</t>
    </r>
    <r>
      <rPr>
        <vertAlign val="superscript"/>
        <sz val="10"/>
        <rFont val="Arial"/>
        <family val="2"/>
      </rPr>
      <t>4</t>
    </r>
    <r>
      <rPr>
        <sz val="8"/>
        <rFont val="MS Sans Serif"/>
      </rPr>
      <t>/T</t>
    </r>
    <r>
      <rPr>
        <vertAlign val="subscript"/>
        <sz val="10"/>
        <rFont val="Arial"/>
        <family val="2"/>
      </rPr>
      <t>K</t>
    </r>
    <r>
      <rPr>
        <sz val="8"/>
        <rFont val="MS Sans Serif"/>
      </rPr>
      <t>) - 1.50*κλίση - 6.40 =</t>
    </r>
  </si>
  <si>
    <t>πολλαπλασίασε Pa sec επί 10 → poise</t>
  </si>
  <si>
    <t>Μορ. Κλάσμα</t>
  </si>
  <si>
    <r>
      <t>← Μορ. κλάσμα H</t>
    </r>
    <r>
      <rPr>
        <vertAlign val="subscript"/>
        <sz val="10"/>
        <rFont val="Arial"/>
        <family val="2"/>
        <charset val="161"/>
      </rPr>
      <t>2</t>
    </r>
    <r>
      <rPr>
        <sz val="10"/>
        <rFont val="Arial"/>
        <family val="2"/>
        <charset val="161"/>
      </rPr>
      <t>O από Φύλλο "Μορ. Κλάσμα Η2Ο"</t>
    </r>
  </si>
  <si>
    <t>Βάλτε την ανάλυση του πετρώματος (μάγματος) και τη θερμοκρασία στα αντίστοιχα κελία που έχουν κίτρινο χρώμα</t>
  </si>
  <si>
    <r>
      <t xml:space="preserve">Υπολογισμός Hess and Dingwell (1996) </t>
    </r>
    <r>
      <rPr>
        <sz val="9"/>
        <rFont val="Arial"/>
        <family val="2"/>
        <charset val="161"/>
      </rPr>
      <t>(για μεταργιλλικούς λευκογρανίτες) (Am. Min. 81, 1297-1300)</t>
    </r>
  </si>
  <si>
    <r>
      <t xml:space="preserve">Υπολογισμός Baker (1998) </t>
    </r>
    <r>
      <rPr>
        <sz val="9"/>
        <rFont val="Arial"/>
        <family val="2"/>
        <charset val="161"/>
      </rPr>
      <t xml:space="preserve">(έχει εφαρμογή μόνο σε γρανίτη/ρυόλιθο μεταξύ </t>
    </r>
    <r>
      <rPr>
        <sz val="9"/>
        <color indexed="10"/>
        <rFont val="Arial"/>
        <family val="2"/>
        <charset val="161"/>
      </rPr>
      <t>700-900</t>
    </r>
    <r>
      <rPr>
        <vertAlign val="superscript"/>
        <sz val="9"/>
        <color indexed="10"/>
        <rFont val="Arial"/>
        <family val="2"/>
        <charset val="161"/>
      </rPr>
      <t>o</t>
    </r>
    <r>
      <rPr>
        <sz val="9"/>
        <color indexed="10"/>
        <rFont val="Arial"/>
        <family val="2"/>
        <charset val="161"/>
      </rPr>
      <t>C</t>
    </r>
    <r>
      <rPr>
        <sz val="9"/>
        <rFont val="Arial"/>
        <family val="2"/>
        <charset val="161"/>
      </rPr>
      <t>) (J. Str. Geol 20, 1395-1404)</t>
    </r>
  </si>
  <si>
    <t>Χαρακτηρισμός Πετρώματος (Μάγματος) από την CIPW</t>
  </si>
  <si>
    <t>Παρόντα Δυνητικά ορυκτά</t>
  </si>
  <si>
    <t>Τύπος Πετρώματος (Μάγματος)</t>
  </si>
  <si>
    <t>Χαλαζίας, Διοψίδιος, Ορθοπυρόξενος</t>
  </si>
  <si>
    <t>Ολιβίνης, Διοψίδιος, Ορθοπυρόξενος</t>
  </si>
  <si>
    <t>Ολιβίνης, Διοψίδιος, Νεφελίνης</t>
  </si>
  <si>
    <t>Χαλαζίας, Κορούνδιο, Ορθοπυρόξενος</t>
  </si>
  <si>
    <t>Κορεσμένο, υπεραργιλλικό, υπαλκαλικό</t>
  </si>
  <si>
    <t>Κορεσμένο, υπαργιλλικό, υπαλκαλικό</t>
  </si>
  <si>
    <t>Ακόρεστο, υπαργιλλικό, υπαλκαλικό</t>
  </si>
  <si>
    <t>Ακόρεστο,  υπαργιλλικό, υπεραλκαλικό</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</si>
</sst>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84" formatCode="0.000"/>
    <numFmt numFmtId="185" formatCode="0.0000"/>
    <numFmt numFmtId="186" formatCode="0.0"/>
    <numFmt numFmtId="190" formatCode="??0.00"/>
    <numFmt numFmtId="191" formatCode="???.00"/>
    <numFmt numFmtId="192" formatCode="??0.000"/>
    <numFmt numFmtId="193" formatCode="??0.0"/>
    <numFmt numFmtId="194" formatCode="?0.00"/>
    <numFmt numFmtId="195" formatCode="???.??"/>
    <numFmt numFmtId="196" formatCode="0.000E+00"/>
  </numFmts>
  <fonts count="37" x14ac:knownFonts="1">
    <font>
      <sz val="8"/>
      <name val="MS Sans Serif"/>
    </font>
    <font>
      <sz val="8"/>
      <color indexed="81"/>
      <name val="Tahoma"/>
    </font>
    <font>
      <sz val="11"/>
      <color rgb="FF9C6500"/>
      <name val="Arial"/>
      <family val="2"/>
      <charset val="161"/>
    </font>
    <font>
      <b/>
      <sz val="8"/>
      <name val="Tahoma"/>
      <family val="2"/>
      <charset val="161"/>
    </font>
    <font>
      <sz val="8"/>
      <name val="Tahoma"/>
      <family val="2"/>
      <charset val="161"/>
    </font>
    <font>
      <b/>
      <vertAlign val="subscript"/>
      <sz val="8"/>
      <name val="Tahoma"/>
      <family val="2"/>
      <charset val="161"/>
    </font>
    <font>
      <b/>
      <vertAlign val="superscript"/>
      <sz val="8"/>
      <name val="Tahoma"/>
      <family val="2"/>
      <charset val="161"/>
    </font>
    <font>
      <b/>
      <sz val="8"/>
      <color indexed="17"/>
      <name val="Tahoma"/>
      <family val="2"/>
      <charset val="161"/>
    </font>
    <font>
      <b/>
      <sz val="8"/>
      <color indexed="10"/>
      <name val="Tahoma"/>
      <family val="2"/>
      <charset val="161"/>
    </font>
    <font>
      <sz val="8"/>
      <color rgb="FF9C6500"/>
      <name val="Arial"/>
      <family val="2"/>
      <charset val="161"/>
    </font>
    <font>
      <sz val="8"/>
      <name val="Arial"/>
      <family val="2"/>
      <charset val="161"/>
    </font>
    <font>
      <sz val="10"/>
      <name val="Arial"/>
      <family val="2"/>
      <charset val="161"/>
    </font>
    <font>
      <sz val="9"/>
      <name val="Arial"/>
      <family val="2"/>
      <charset val="161"/>
    </font>
    <font>
      <sz val="9"/>
      <color indexed="81"/>
      <name val="Tahoma"/>
      <family val="2"/>
      <charset val="161"/>
    </font>
    <font>
      <sz val="8"/>
      <color indexed="81"/>
      <name val="Tahoma"/>
      <family val="2"/>
      <charset val="161"/>
    </font>
    <font>
      <sz val="8"/>
      <name val="Arial"/>
      <family val="2"/>
    </font>
    <font>
      <b/>
      <sz val="10"/>
      <name val="Arial"/>
      <family val="2"/>
    </font>
    <font>
      <sz val="10"/>
      <name val="Arial"/>
      <family val="2"/>
    </font>
    <font>
      <b/>
      <sz val="10"/>
      <name val="Arial"/>
      <family val="2"/>
      <charset val="161"/>
    </font>
    <font>
      <b/>
      <vertAlign val="subscript"/>
      <sz val="10"/>
      <name val="Arial"/>
      <family val="2"/>
    </font>
    <font>
      <b/>
      <sz val="10"/>
      <name val="Symbol"/>
      <family val="1"/>
      <charset val="2"/>
    </font>
    <font>
      <b/>
      <vertAlign val="superscript"/>
      <sz val="10"/>
      <name val="Arial"/>
      <family val="2"/>
    </font>
    <font>
      <b/>
      <sz val="10"/>
      <name val="Arial Narrow"/>
      <family val="2"/>
    </font>
    <font>
      <b/>
      <vertAlign val="subscript"/>
      <sz val="10"/>
      <name val="Arial Narrow"/>
      <family val="2"/>
    </font>
    <font>
      <b/>
      <vertAlign val="superscript"/>
      <sz val="10"/>
      <name val="Arial Narrow"/>
      <family val="2"/>
    </font>
    <font>
      <vertAlign val="subscript"/>
      <sz val="10"/>
      <name val="Arial"/>
      <family val="2"/>
    </font>
    <font>
      <sz val="10"/>
      <name val="Symbol"/>
      <family val="1"/>
      <charset val="2"/>
    </font>
    <font>
      <vertAlign val="superscript"/>
      <sz val="10"/>
      <name val="Arial"/>
      <family val="2"/>
    </font>
    <font>
      <b/>
      <sz val="10"/>
      <color indexed="10"/>
      <name val="Arial"/>
      <family val="2"/>
    </font>
    <font>
      <sz val="9"/>
      <name val="Arial"/>
      <family val="2"/>
    </font>
    <font>
      <b/>
      <sz val="9"/>
      <name val="Arial"/>
      <family val="2"/>
    </font>
    <font>
      <vertAlign val="subscript"/>
      <sz val="9"/>
      <name val="Arial"/>
      <family val="2"/>
    </font>
    <font>
      <vertAlign val="subscript"/>
      <sz val="10"/>
      <name val="Arial"/>
      <family val="2"/>
      <charset val="161"/>
    </font>
    <font>
      <sz val="9"/>
      <color indexed="10"/>
      <name val="Arial"/>
      <family val="2"/>
      <charset val="161"/>
    </font>
    <font>
      <vertAlign val="superscript"/>
      <sz val="9"/>
      <color indexed="10"/>
      <name val="Arial"/>
      <family val="2"/>
      <charset val="161"/>
    </font>
    <font>
      <b/>
      <sz val="9"/>
      <name val="Arial"/>
      <family val="2"/>
      <charset val="161"/>
    </font>
    <font>
      <b/>
      <sz val="8"/>
      <color rgb="FFC00000"/>
      <name val="Tahoma"/>
      <family val="2"/>
      <charset val="161"/>
    </font>
  </fonts>
  <fills count="21">
    <fill>
      <patternFill patternType="none"/>
    </fill>
    <fill>
      <patternFill patternType="gray125"/>
    </fill>
    <fill>
      <patternFill patternType="solid">
        <fgColor indexed="15"/>
      </patternFill>
    </fill>
    <fill>
      <patternFill patternType="solid">
        <fgColor indexed="11"/>
      </patternFill>
    </fill>
    <fill>
      <patternFill patternType="solid">
        <fgColor indexed="13"/>
      </patternFill>
    </fill>
    <fill>
      <patternFill patternType="lightGray">
        <fgColor indexed="13"/>
      </patternFill>
    </fill>
    <fill>
      <patternFill patternType="lightGray">
        <fgColor indexed="15"/>
      </patternFill>
    </fill>
    <fill>
      <patternFill patternType="solid">
        <fgColor indexed="10"/>
      </patternFill>
    </fill>
    <fill>
      <patternFill patternType="gray125">
        <fgColor indexed="9"/>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lightGray">
        <fgColor indexed="11"/>
      </patternFill>
    </fill>
    <fill>
      <patternFill patternType="lightGray">
        <fgColor indexed="10"/>
      </patternFill>
    </fill>
    <fill>
      <patternFill patternType="solid">
        <fgColor rgb="FFFFEB9C"/>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s>
  <cellStyleXfs count="3">
    <xf numFmtId="0" fontId="0" fillId="0" borderId="0"/>
    <xf numFmtId="0" fontId="2" fillId="14" borderId="0" applyNumberFormat="0" applyBorder="0" applyAlignment="0" applyProtection="0"/>
    <xf numFmtId="0" fontId="11" fillId="0" borderId="0"/>
  </cellStyleXfs>
  <cellXfs count="283">
    <xf numFmtId="0" fontId="0" fillId="0" borderId="0" xfId="0"/>
    <xf numFmtId="0" fontId="4" fillId="0" borderId="0" xfId="0" applyFont="1"/>
    <xf numFmtId="0" fontId="4" fillId="9" borderId="0" xfId="0" applyFont="1" applyFill="1" applyBorder="1"/>
    <xf numFmtId="0" fontId="3" fillId="0" borderId="0" xfId="0" applyFont="1"/>
    <xf numFmtId="0" fontId="4" fillId="0" borderId="0" xfId="0" applyFont="1" applyAlignment="1">
      <alignment horizontal="center"/>
    </xf>
    <xf numFmtId="0" fontId="4" fillId="9" borderId="0" xfId="0" applyFont="1" applyFill="1" applyBorder="1" applyAlignment="1">
      <alignment horizontal="center"/>
    </xf>
    <xf numFmtId="0" fontId="4" fillId="0" borderId="0" xfId="0" applyFont="1" applyBorder="1"/>
    <xf numFmtId="0" fontId="4" fillId="0" borderId="1" xfId="0" applyFont="1" applyBorder="1"/>
    <xf numFmtId="0" fontId="3" fillId="9" borderId="0" xfId="0" applyFont="1" applyFill="1"/>
    <xf numFmtId="0" fontId="4" fillId="9" borderId="0" xfId="0" applyFont="1" applyFill="1" applyAlignment="1">
      <alignment horizontal="center"/>
    </xf>
    <xf numFmtId="0" fontId="4" fillId="9" borderId="0" xfId="0" applyFont="1" applyFill="1"/>
    <xf numFmtId="0" fontId="4" fillId="9" borderId="0" xfId="0" applyFont="1" applyFill="1" applyBorder="1" applyProtection="1">
      <protection locked="0"/>
    </xf>
    <xf numFmtId="0" fontId="4" fillId="9" borderId="0" xfId="0" applyFont="1" applyFill="1" applyBorder="1" applyAlignment="1" applyProtection="1">
      <alignment horizontal="center"/>
      <protection locked="0"/>
    </xf>
    <xf numFmtId="0" fontId="3" fillId="0" borderId="0" xfId="0" applyFont="1" applyAlignment="1">
      <alignment horizontal="center"/>
    </xf>
    <xf numFmtId="0" fontId="3" fillId="9" borderId="0" xfId="0" applyFont="1" applyFill="1" applyAlignment="1">
      <alignment horizontal="center"/>
    </xf>
    <xf numFmtId="0" fontId="4" fillId="0" borderId="0" xfId="0" applyFont="1" applyFill="1" applyAlignment="1">
      <alignment horizontal="center"/>
    </xf>
    <xf numFmtId="0" fontId="4" fillId="0" borderId="1" xfId="0" applyFont="1" applyBorder="1" applyAlignment="1">
      <alignment horizontal="left"/>
    </xf>
    <xf numFmtId="0" fontId="3" fillId="0" borderId="1" xfId="0" applyFont="1" applyBorder="1" applyAlignment="1">
      <alignment horizontal="center"/>
    </xf>
    <xf numFmtId="0" fontId="3" fillId="9" borderId="0" xfId="0"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xf numFmtId="0" fontId="4" fillId="0" borderId="7" xfId="0" applyFont="1" applyBorder="1"/>
    <xf numFmtId="0" fontId="3" fillId="0" borderId="1" xfId="0" applyFont="1" applyBorder="1"/>
    <xf numFmtId="2" fontId="4" fillId="0" borderId="0" xfId="0" applyNumberFormat="1" applyFont="1"/>
    <xf numFmtId="2" fontId="4" fillId="9" borderId="0" xfId="0" applyNumberFormat="1" applyFont="1" applyFill="1"/>
    <xf numFmtId="0" fontId="3" fillId="0" borderId="5" xfId="0" applyFont="1" applyBorder="1"/>
    <xf numFmtId="185" fontId="4" fillId="0" borderId="0" xfId="0" applyNumberFormat="1" applyFont="1"/>
    <xf numFmtId="185" fontId="4" fillId="2" borderId="0" xfId="0" applyNumberFormat="1" applyFont="1" applyFill="1"/>
    <xf numFmtId="185" fontId="4" fillId="0" borderId="0" xfId="0" applyNumberFormat="1" applyFont="1" applyFill="1"/>
    <xf numFmtId="185" fontId="4" fillId="3" borderId="0" xfId="0" applyNumberFormat="1" applyFont="1" applyFill="1"/>
    <xf numFmtId="0" fontId="4" fillId="5" borderId="3" xfId="0" applyFont="1" applyFill="1" applyBorder="1" applyAlignment="1" applyProtection="1">
      <alignment horizontal="right"/>
      <protection locked="0"/>
    </xf>
    <xf numFmtId="0" fontId="4" fillId="9" borderId="0" xfId="0" applyFont="1" applyFill="1" applyAlignment="1">
      <alignment horizontal="right"/>
    </xf>
    <xf numFmtId="2" fontId="4" fillId="6" borderId="9" xfId="0" applyNumberFormat="1" applyFont="1" applyFill="1" applyBorder="1"/>
    <xf numFmtId="2" fontId="4" fillId="6" borderId="2" xfId="0" applyNumberFormat="1" applyFont="1" applyFill="1" applyBorder="1"/>
    <xf numFmtId="2" fontId="4" fillId="6" borderId="3" xfId="0" applyNumberFormat="1" applyFont="1" applyFill="1" applyBorder="1"/>
    <xf numFmtId="0" fontId="3" fillId="0" borderId="6" xfId="0" applyFont="1" applyBorder="1"/>
    <xf numFmtId="0" fontId="4" fillId="0" borderId="4" xfId="0" applyFont="1" applyBorder="1"/>
    <xf numFmtId="0" fontId="3" fillId="0" borderId="7" xfId="0" applyFont="1" applyBorder="1"/>
    <xf numFmtId="0" fontId="4" fillId="5" borderId="8" xfId="0" applyNumberFormat="1" applyFont="1" applyFill="1" applyBorder="1" applyProtection="1">
      <protection locked="0"/>
    </xf>
    <xf numFmtId="0" fontId="4" fillId="9" borderId="0" xfId="0" applyNumberFormat="1" applyFont="1" applyFill="1"/>
    <xf numFmtId="2" fontId="4" fillId="6" borderId="10" xfId="0" applyNumberFormat="1" applyFont="1" applyFill="1" applyBorder="1"/>
    <xf numFmtId="2" fontId="4" fillId="6" borderId="0" xfId="0" applyNumberFormat="1" applyFont="1" applyFill="1" applyBorder="1"/>
    <xf numFmtId="2" fontId="4" fillId="6" borderId="4" xfId="0" applyNumberFormat="1" applyFont="1" applyFill="1" applyBorder="1"/>
    <xf numFmtId="0" fontId="4" fillId="9" borderId="1" xfId="0" applyFont="1" applyFill="1" applyBorder="1"/>
    <xf numFmtId="0" fontId="4" fillId="0" borderId="5" xfId="0" applyFont="1" applyBorder="1"/>
    <xf numFmtId="2" fontId="4" fillId="0" borderId="0" xfId="0" applyNumberFormat="1" applyFont="1" applyBorder="1"/>
    <xf numFmtId="185" fontId="4" fillId="0" borderId="0" xfId="0" applyNumberFormat="1" applyFont="1" applyBorder="1"/>
    <xf numFmtId="185" fontId="4" fillId="2" borderId="0" xfId="0" applyNumberFormat="1" applyFont="1" applyFill="1" applyBorder="1"/>
    <xf numFmtId="185" fontId="4" fillId="4" borderId="0" xfId="0" applyNumberFormat="1" applyFont="1" applyFill="1" applyBorder="1"/>
    <xf numFmtId="185" fontId="4" fillId="3" borderId="0" xfId="0" applyNumberFormat="1" applyFont="1" applyFill="1" applyBorder="1"/>
    <xf numFmtId="0" fontId="4" fillId="0" borderId="6" xfId="0" applyFont="1" applyBorder="1"/>
    <xf numFmtId="2" fontId="4" fillId="9" borderId="0" xfId="0" applyNumberFormat="1" applyFont="1" applyFill="1" applyBorder="1"/>
    <xf numFmtId="185" fontId="4" fillId="4" borderId="0" xfId="0" applyNumberFormat="1" applyFont="1" applyFill="1"/>
    <xf numFmtId="185" fontId="4" fillId="0" borderId="15" xfId="0" applyNumberFormat="1" applyFont="1" applyBorder="1"/>
    <xf numFmtId="184" fontId="4" fillId="6" borderId="8" xfId="0" applyNumberFormat="1" applyFont="1" applyFill="1" applyBorder="1"/>
    <xf numFmtId="184" fontId="4" fillId="9" borderId="0" xfId="0" applyNumberFormat="1" applyFont="1" applyFill="1"/>
    <xf numFmtId="185" fontId="4" fillId="0" borderId="0" xfId="0" applyNumberFormat="1" applyFont="1" applyAlignment="1">
      <alignment horizontal="right"/>
    </xf>
    <xf numFmtId="2" fontId="4" fillId="5" borderId="0" xfId="0" applyNumberFormat="1" applyFont="1" applyFill="1" applyBorder="1" applyProtection="1">
      <protection locked="0"/>
    </xf>
    <xf numFmtId="2" fontId="4" fillId="5" borderId="0" xfId="0" applyNumberFormat="1" applyFont="1" applyFill="1" applyProtection="1">
      <protection locked="0"/>
    </xf>
    <xf numFmtId="0" fontId="3" fillId="0" borderId="6" xfId="0" applyFont="1" applyFill="1" applyBorder="1"/>
    <xf numFmtId="2" fontId="3" fillId="0" borderId="5" xfId="0" applyNumberFormat="1" applyFont="1" applyBorder="1" applyAlignment="1">
      <alignment horizontal="center"/>
    </xf>
    <xf numFmtId="2" fontId="3" fillId="0" borderId="3" xfId="0" applyNumberFormat="1" applyFont="1" applyBorder="1" applyAlignment="1">
      <alignment horizontal="center"/>
    </xf>
    <xf numFmtId="2" fontId="4" fillId="9" borderId="4" xfId="0" applyNumberFormat="1" applyFont="1" applyFill="1" applyBorder="1"/>
    <xf numFmtId="0" fontId="7" fillId="12" borderId="6" xfId="0" applyNumberFormat="1" applyFont="1" applyFill="1" applyBorder="1" applyAlignment="1">
      <alignment horizontal="center"/>
    </xf>
    <xf numFmtId="0" fontId="7" fillId="12" borderId="4" xfId="0" applyNumberFormat="1" applyFont="1" applyFill="1" applyBorder="1" applyAlignment="1">
      <alignment horizontal="center"/>
    </xf>
    <xf numFmtId="1" fontId="4" fillId="5" borderId="0" xfId="0" applyNumberFormat="1" applyFont="1" applyFill="1" applyBorder="1" applyProtection="1">
      <protection locked="0"/>
    </xf>
    <xf numFmtId="0" fontId="8" fillId="13" borderId="7" xfId="0" applyNumberFormat="1" applyFont="1" applyFill="1" applyBorder="1" applyAlignment="1">
      <alignment horizontal="center"/>
    </xf>
    <xf numFmtId="0" fontId="8" fillId="13" borderId="8" xfId="0" applyNumberFormat="1" applyFont="1" applyFill="1" applyBorder="1" applyAlignment="1">
      <alignment horizontal="center"/>
    </xf>
    <xf numFmtId="0" fontId="3" fillId="0" borderId="7" xfId="0" applyFont="1" applyFill="1" applyBorder="1"/>
    <xf numFmtId="2" fontId="4" fillId="0" borderId="1" xfId="0" applyNumberFormat="1" applyFont="1" applyBorder="1"/>
    <xf numFmtId="185" fontId="4" fillId="0" borderId="1" xfId="0" applyNumberFormat="1" applyFont="1" applyBorder="1"/>
    <xf numFmtId="185" fontId="4" fillId="3" borderId="1" xfId="0" applyNumberFormat="1" applyFont="1" applyFill="1" applyBorder="1"/>
    <xf numFmtId="1" fontId="4" fillId="5" borderId="1" xfId="0" applyNumberFormat="1" applyFont="1" applyFill="1" applyBorder="1" applyProtection="1">
      <protection locked="0"/>
    </xf>
    <xf numFmtId="0" fontId="4" fillId="0" borderId="8" xfId="0" applyFont="1" applyBorder="1"/>
    <xf numFmtId="2" fontId="4" fillId="6" borderId="11" xfId="0" applyNumberFormat="1" applyFont="1" applyFill="1" applyBorder="1"/>
    <xf numFmtId="0" fontId="4" fillId="2" borderId="0" xfId="0" applyFont="1" applyFill="1"/>
    <xf numFmtId="2" fontId="4" fillId="6" borderId="1" xfId="0" applyNumberFormat="1" applyFont="1" applyFill="1" applyBorder="1"/>
    <xf numFmtId="0" fontId="4" fillId="3" borderId="0" xfId="0" applyFont="1" applyFill="1"/>
    <xf numFmtId="0" fontId="4" fillId="4" borderId="0" xfId="0" applyFont="1" applyFill="1"/>
    <xf numFmtId="2" fontId="4" fillId="0" borderId="0" xfId="0" applyNumberFormat="1" applyFont="1" applyFill="1"/>
    <xf numFmtId="2" fontId="4" fillId="0" borderId="12" xfId="0" applyNumberFormat="1" applyFont="1" applyFill="1" applyBorder="1"/>
    <xf numFmtId="0" fontId="4" fillId="0" borderId="13" xfId="0" applyFont="1" applyBorder="1" applyAlignment="1">
      <alignment horizontal="right"/>
    </xf>
    <xf numFmtId="0" fontId="4" fillId="0" borderId="13" xfId="0" applyFont="1" applyBorder="1" applyAlignment="1">
      <alignment horizontal="left"/>
    </xf>
    <xf numFmtId="0" fontId="4" fillId="0" borderId="14" xfId="0" applyFont="1" applyBorder="1"/>
    <xf numFmtId="0" fontId="4" fillId="0" borderId="12" xfId="0" applyFont="1" applyBorder="1"/>
    <xf numFmtId="0" fontId="4" fillId="0" borderId="13" xfId="0" applyFont="1" applyBorder="1"/>
    <xf numFmtId="2" fontId="4" fillId="0" borderId="0" xfId="0" applyNumberFormat="1" applyFont="1" applyBorder="1" applyAlignment="1">
      <alignment horizontal="right"/>
    </xf>
    <xf numFmtId="185" fontId="4" fillId="0" borderId="0" xfId="0" applyNumberFormat="1" applyFont="1" applyBorder="1" applyAlignment="1">
      <alignment horizontal="right"/>
    </xf>
    <xf numFmtId="0" fontId="4" fillId="0" borderId="0" xfId="0" applyFont="1" applyBorder="1" applyAlignment="1">
      <alignment horizontal="right"/>
    </xf>
    <xf numFmtId="0" fontId="3" fillId="0" borderId="0" xfId="0" applyFont="1" applyBorder="1" applyAlignment="1">
      <alignment horizontal="right"/>
    </xf>
    <xf numFmtId="2" fontId="4" fillId="0" borderId="4" xfId="0" applyNumberFormat="1" applyFont="1" applyBorder="1"/>
    <xf numFmtId="0" fontId="3" fillId="0" borderId="0" xfId="0" applyFont="1" applyBorder="1"/>
    <xf numFmtId="185" fontId="3" fillId="0" borderId="0" xfId="0" applyNumberFormat="1" applyFont="1" applyBorder="1"/>
    <xf numFmtId="185" fontId="4" fillId="0" borderId="4" xfId="0" applyNumberFormat="1" applyFont="1" applyBorder="1"/>
    <xf numFmtId="2" fontId="4" fillId="6" borderId="8" xfId="0" applyNumberFormat="1" applyFont="1" applyFill="1" applyBorder="1"/>
    <xf numFmtId="0" fontId="3" fillId="0" borderId="2" xfId="0" applyFont="1" applyBorder="1"/>
    <xf numFmtId="186" fontId="4" fillId="6" borderId="2" xfId="0" applyNumberFormat="1" applyFont="1" applyFill="1" applyBorder="1"/>
    <xf numFmtId="186" fontId="4" fillId="6" borderId="3" xfId="0" applyNumberFormat="1" applyFont="1" applyFill="1" applyBorder="1"/>
    <xf numFmtId="186" fontId="4" fillId="0" borderId="2" xfId="0" applyNumberFormat="1" applyFont="1" applyBorder="1"/>
    <xf numFmtId="186" fontId="4" fillId="9" borderId="0" xfId="0" applyNumberFormat="1" applyFont="1" applyFill="1" applyBorder="1"/>
    <xf numFmtId="186" fontId="4" fillId="6" borderId="0" xfId="0" applyNumberFormat="1" applyFont="1" applyFill="1" applyBorder="1"/>
    <xf numFmtId="186" fontId="4" fillId="6" borderId="4" xfId="0" applyNumberFormat="1" applyFont="1" applyFill="1" applyBorder="1"/>
    <xf numFmtId="186" fontId="4" fillId="0" borderId="0" xfId="0" applyNumberFormat="1" applyFont="1" applyBorder="1"/>
    <xf numFmtId="186" fontId="4" fillId="6" borderId="0" xfId="0" applyNumberFormat="1" applyFont="1" applyFill="1" applyBorder="1" applyAlignment="1">
      <alignment horizontal="right"/>
    </xf>
    <xf numFmtId="186" fontId="4" fillId="6" borderId="4" xfId="0" applyNumberFormat="1" applyFont="1" applyFill="1" applyBorder="1" applyAlignment="1">
      <alignment horizontal="right"/>
    </xf>
    <xf numFmtId="2" fontId="4" fillId="0" borderId="1" xfId="0" applyNumberFormat="1" applyFont="1" applyBorder="1" applyAlignment="1">
      <alignment horizontal="right"/>
    </xf>
    <xf numFmtId="185" fontId="4" fillId="0" borderId="1" xfId="0" applyNumberFormat="1" applyFont="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2" fontId="4" fillId="0" borderId="8" xfId="0" applyNumberFormat="1" applyFont="1" applyBorder="1"/>
    <xf numFmtId="0" fontId="3" fillId="0" borderId="13" xfId="0" applyFont="1" applyBorder="1"/>
    <xf numFmtId="186" fontId="4" fillId="6" borderId="13" xfId="0" applyNumberFormat="1" applyFont="1" applyFill="1" applyBorder="1"/>
    <xf numFmtId="186" fontId="4" fillId="6" borderId="14" xfId="0" applyNumberFormat="1" applyFont="1" applyFill="1" applyBorder="1"/>
    <xf numFmtId="0" fontId="4" fillId="6" borderId="1" xfId="0" applyFont="1" applyFill="1" applyBorder="1"/>
    <xf numFmtId="186" fontId="4" fillId="0" borderId="8" xfId="0" applyNumberFormat="1" applyFont="1" applyBorder="1"/>
    <xf numFmtId="0" fontId="4" fillId="0" borderId="2" xfId="0" applyFont="1" applyBorder="1"/>
    <xf numFmtId="0" fontId="4" fillId="6" borderId="2" xfId="0" applyFont="1" applyFill="1" applyBorder="1"/>
    <xf numFmtId="0" fontId="4" fillId="1" borderId="0" xfId="0" applyFont="1" applyFill="1"/>
    <xf numFmtId="0" fontId="4" fillId="0" borderId="0" xfId="0" applyFont="1" applyFill="1"/>
    <xf numFmtId="0" fontId="4" fillId="0" borderId="0" xfId="0" applyFont="1" applyFill="1" applyBorder="1"/>
    <xf numFmtId="0" fontId="4" fillId="6" borderId="0" xfId="0" applyFont="1" applyFill="1" applyBorder="1"/>
    <xf numFmtId="186" fontId="4" fillId="6" borderId="1" xfId="0" applyNumberFormat="1" applyFont="1" applyFill="1" applyBorder="1"/>
    <xf numFmtId="186" fontId="4" fillId="6" borderId="8" xfId="0" applyNumberFormat="1" applyFont="1" applyFill="1" applyBorder="1"/>
    <xf numFmtId="0" fontId="4" fillId="8" borderId="0" xfId="0" applyFont="1" applyFill="1" applyBorder="1"/>
    <xf numFmtId="1" fontId="4" fillId="6" borderId="0" xfId="0" applyNumberFormat="1" applyFont="1" applyFill="1" applyBorder="1"/>
    <xf numFmtId="1" fontId="4" fillId="6" borderId="4" xfId="0" applyNumberFormat="1" applyFont="1" applyFill="1" applyBorder="1"/>
    <xf numFmtId="0" fontId="4" fillId="10" borderId="0" xfId="0" applyNumberFormat="1" applyFont="1" applyFill="1" applyBorder="1" applyAlignment="1">
      <alignment horizontal="left" wrapText="1"/>
    </xf>
    <xf numFmtId="2" fontId="4" fillId="0" borderId="0" xfId="0" applyNumberFormat="1" applyFont="1" applyFill="1" applyBorder="1"/>
    <xf numFmtId="0" fontId="4" fillId="0" borderId="0" xfId="0" applyFont="1" applyFill="1" applyBorder="1" applyAlignment="1">
      <alignment horizontal="right"/>
    </xf>
    <xf numFmtId="185" fontId="4" fillId="0" borderId="0" xfId="0" applyNumberFormat="1" applyFont="1" applyFill="1" applyBorder="1"/>
    <xf numFmtId="0" fontId="3" fillId="0" borderId="0" xfId="0" applyFont="1" applyFill="1" applyBorder="1"/>
    <xf numFmtId="185" fontId="3" fillId="0" borderId="0" xfId="0" applyNumberFormat="1" applyFont="1" applyFill="1" applyBorder="1"/>
    <xf numFmtId="185" fontId="4" fillId="0" borderId="4" xfId="0" applyNumberFormat="1" applyFont="1" applyFill="1" applyBorder="1"/>
    <xf numFmtId="185" fontId="3" fillId="0" borderId="1" xfId="0" applyNumberFormat="1" applyFont="1" applyBorder="1"/>
    <xf numFmtId="185" fontId="4" fillId="0" borderId="8" xfId="0" applyNumberFormat="1" applyFont="1" applyBorder="1"/>
    <xf numFmtId="0" fontId="4" fillId="0" borderId="1" xfId="0" applyFont="1" applyBorder="1" applyAlignment="1">
      <alignment vertical="center"/>
    </xf>
    <xf numFmtId="0" fontId="3" fillId="0" borderId="1" xfId="0" applyFont="1" applyBorder="1" applyAlignment="1">
      <alignment horizontal="left" vertical="center"/>
    </xf>
    <xf numFmtId="0" fontId="9" fillId="14" borderId="1" xfId="1" applyFont="1" applyBorder="1" applyAlignment="1">
      <alignment horizontal="left" vertical="center"/>
    </xf>
    <xf numFmtId="0" fontId="10" fillId="14" borderId="1" xfId="1" applyFont="1" applyBorder="1" applyAlignment="1">
      <alignment horizontal="left" vertical="center"/>
    </xf>
    <xf numFmtId="0" fontId="3" fillId="0" borderId="1" xfId="0" applyFont="1" applyBorder="1" applyAlignment="1" applyProtection="1">
      <alignment horizontal="left" vertical="center"/>
      <protection locked="0"/>
    </xf>
    <xf numFmtId="0" fontId="10" fillId="14" borderId="1" xfId="1" applyFont="1" applyBorder="1" applyAlignment="1" applyProtection="1">
      <alignment horizontal="left" vertical="center"/>
      <protection locked="0"/>
    </xf>
    <xf numFmtId="0" fontId="3" fillId="11" borderId="1" xfId="0" applyFont="1" applyFill="1" applyBorder="1" applyAlignment="1">
      <alignment horizontal="left" vertical="center" wrapText="1"/>
    </xf>
    <xf numFmtId="0" fontId="3" fillId="7" borderId="16"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right" vertical="center"/>
    </xf>
    <xf numFmtId="14" fontId="4" fillId="0" borderId="1" xfId="0" applyNumberFormat="1" applyFont="1" applyBorder="1" applyAlignment="1" applyProtection="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2" fillId="14" borderId="1" xfId="1" applyBorder="1"/>
    <xf numFmtId="0" fontId="3" fillId="0" borderId="1" xfId="0" applyFont="1" applyBorder="1" applyAlignment="1">
      <alignment horizontal="left" vertical="center" wrapText="1"/>
    </xf>
    <xf numFmtId="2" fontId="3" fillId="0" borderId="1" xfId="0" applyNumberFormat="1" applyFont="1" applyFill="1" applyBorder="1" applyAlignment="1">
      <alignment horizontal="center"/>
    </xf>
    <xf numFmtId="0" fontId="3" fillId="0" borderId="5"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6" xfId="0" applyFont="1" applyFill="1" applyBorder="1" applyAlignment="1">
      <alignment vertical="center"/>
    </xf>
    <xf numFmtId="0" fontId="3" fillId="8" borderId="6" xfId="0" applyFont="1" applyFill="1" applyBorder="1" applyAlignment="1">
      <alignmen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2" fontId="15" fillId="15" borderId="0" xfId="0" applyNumberFormat="1" applyFont="1" applyFill="1" applyBorder="1" applyProtection="1">
      <protection locked="0"/>
    </xf>
    <xf numFmtId="0" fontId="3" fillId="0" borderId="0" xfId="0" applyFont="1" applyFill="1"/>
    <xf numFmtId="0" fontId="3" fillId="16" borderId="0" xfId="0" applyFont="1" applyFill="1" applyAlignment="1">
      <alignment horizontal="left" vertical="center" wrapText="1"/>
    </xf>
    <xf numFmtId="0" fontId="11" fillId="0" borderId="0" xfId="2"/>
    <xf numFmtId="0" fontId="16" fillId="0" borderId="0" xfId="2" applyFont="1"/>
    <xf numFmtId="0" fontId="18" fillId="0" borderId="0" xfId="2" applyFont="1" applyFill="1" applyBorder="1" applyAlignment="1">
      <alignment horizontal="center"/>
    </xf>
    <xf numFmtId="0" fontId="16" fillId="0" borderId="0" xfId="2" applyFont="1" applyAlignment="1">
      <alignment horizontal="center"/>
    </xf>
    <xf numFmtId="0" fontId="20" fillId="0" borderId="0" xfId="2" applyFont="1" applyAlignment="1">
      <alignment horizontal="center"/>
    </xf>
    <xf numFmtId="0" fontId="17" fillId="15" borderId="15" xfId="2" applyFont="1" applyFill="1" applyBorder="1" applyAlignment="1">
      <alignment horizontal="center"/>
    </xf>
    <xf numFmtId="0" fontId="18" fillId="0" borderId="17" xfId="2" applyFont="1" applyBorder="1"/>
    <xf numFmtId="0" fontId="16" fillId="0" borderId="17" xfId="2" applyFont="1" applyBorder="1" applyAlignment="1">
      <alignment horizontal="center"/>
    </xf>
    <xf numFmtId="0" fontId="22" fillId="0" borderId="17" xfId="2" applyFont="1" applyBorder="1" applyAlignment="1">
      <alignment horizontal="center"/>
    </xf>
    <xf numFmtId="0" fontId="11" fillId="0" borderId="0" xfId="2" applyBorder="1" applyAlignment="1"/>
    <xf numFmtId="190" fontId="11" fillId="15" borderId="9" xfId="2" applyNumberFormat="1" applyFill="1" applyBorder="1" applyAlignment="1"/>
    <xf numFmtId="191" fontId="11" fillId="0" borderId="0" xfId="2" applyNumberFormat="1" applyFont="1" applyBorder="1" applyAlignment="1"/>
    <xf numFmtId="192" fontId="11" fillId="0" borderId="0" xfId="2" applyNumberFormat="1" applyFont="1" applyBorder="1" applyAlignment="1">
      <alignment horizontal="center"/>
    </xf>
    <xf numFmtId="193" fontId="11" fillId="0" borderId="0" xfId="2" applyNumberFormat="1" applyFont="1" applyBorder="1" applyAlignment="1">
      <alignment horizontal="center"/>
    </xf>
    <xf numFmtId="194" fontId="11" fillId="0" borderId="0" xfId="2" applyNumberFormat="1" applyFont="1" applyBorder="1" applyAlignment="1">
      <alignment horizontal="center"/>
    </xf>
    <xf numFmtId="194" fontId="11" fillId="0" borderId="0" xfId="2" applyNumberFormat="1" applyBorder="1" applyAlignment="1">
      <alignment horizontal="center"/>
    </xf>
    <xf numFmtId="194" fontId="11" fillId="0" borderId="0" xfId="2" applyNumberFormat="1" applyAlignment="1">
      <alignment horizontal="center"/>
    </xf>
    <xf numFmtId="190" fontId="11" fillId="15" borderId="10" xfId="2" applyNumberFormat="1" applyFill="1" applyBorder="1" applyAlignment="1"/>
    <xf numFmtId="190" fontId="11" fillId="15" borderId="11" xfId="2" applyNumberFormat="1" applyFill="1" applyBorder="1" applyAlignment="1"/>
    <xf numFmtId="191" fontId="11" fillId="0" borderId="0" xfId="2" applyNumberFormat="1" applyBorder="1" applyAlignment="1"/>
    <xf numFmtId="192" fontId="11" fillId="0" borderId="0" xfId="2" applyNumberFormat="1" applyFill="1" applyBorder="1" applyAlignment="1">
      <alignment horizontal="center"/>
    </xf>
    <xf numFmtId="0" fontId="11" fillId="0" borderId="0" xfId="2" applyBorder="1"/>
    <xf numFmtId="0" fontId="11" fillId="0" borderId="0" xfId="2" applyFill="1" applyBorder="1" applyAlignment="1">
      <alignment horizontal="center"/>
    </xf>
    <xf numFmtId="0" fontId="11" fillId="0" borderId="0" xfId="2" applyFill="1" applyBorder="1"/>
    <xf numFmtId="195" fontId="11" fillId="0" borderId="0" xfId="2" applyNumberFormat="1"/>
    <xf numFmtId="190" fontId="11" fillId="0" borderId="0" xfId="2" applyNumberFormat="1" applyAlignment="1">
      <alignment horizontal="center"/>
    </xf>
    <xf numFmtId="2" fontId="11" fillId="0" borderId="0" xfId="2" applyNumberFormat="1" applyAlignment="1">
      <alignment horizontal="right"/>
    </xf>
    <xf numFmtId="0" fontId="11" fillId="0" borderId="0" xfId="2" applyAlignment="1">
      <alignment horizontal="right"/>
    </xf>
    <xf numFmtId="2" fontId="11" fillId="0" borderId="0" xfId="2" applyNumberFormat="1" applyAlignment="1">
      <alignment horizontal="center"/>
    </xf>
    <xf numFmtId="2" fontId="11" fillId="0" borderId="0" xfId="2" applyNumberFormat="1"/>
    <xf numFmtId="0" fontId="11" fillId="0" borderId="0" xfId="2" applyBorder="1" applyAlignment="1">
      <alignment horizontal="center"/>
    </xf>
    <xf numFmtId="0" fontId="11" fillId="0" borderId="0" xfId="2" applyAlignment="1">
      <alignment horizontal="center"/>
    </xf>
    <xf numFmtId="2" fontId="11" fillId="0" borderId="0" xfId="2" applyNumberFormat="1" applyBorder="1" applyAlignment="1">
      <alignment horizontal="center"/>
    </xf>
    <xf numFmtId="0" fontId="11" fillId="0" borderId="0" xfId="2" applyFill="1" applyBorder="1" applyAlignment="1">
      <alignment horizontal="right"/>
    </xf>
    <xf numFmtId="0" fontId="26" fillId="10" borderId="12" xfId="2" applyFont="1" applyFill="1" applyBorder="1" applyAlignment="1">
      <alignment horizontal="right"/>
    </xf>
    <xf numFmtId="11" fontId="11" fillId="10" borderId="13" xfId="2" applyNumberFormat="1" applyFill="1" applyBorder="1" applyAlignment="1">
      <alignment horizontal="center"/>
    </xf>
    <xf numFmtId="0" fontId="11" fillId="10" borderId="14" xfId="2" applyFill="1" applyBorder="1" applyAlignment="1">
      <alignment horizontal="left"/>
    </xf>
    <xf numFmtId="0" fontId="11" fillId="0" borderId="0" xfId="2" applyFill="1" applyBorder="1" applyAlignment="1">
      <alignment horizontal="right"/>
    </xf>
    <xf numFmtId="184" fontId="11" fillId="0" borderId="0" xfId="2" applyNumberFormat="1" applyAlignment="1">
      <alignment horizontal="center"/>
    </xf>
    <xf numFmtId="0" fontId="17" fillId="0" borderId="0" xfId="2" applyFont="1" applyFill="1" applyBorder="1" applyAlignment="1">
      <alignment horizontal="left"/>
    </xf>
    <xf numFmtId="196" fontId="11" fillId="0" borderId="0" xfId="2" applyNumberFormat="1" applyFill="1" applyBorder="1" applyAlignment="1">
      <alignment horizontal="center"/>
    </xf>
    <xf numFmtId="0" fontId="11" fillId="0" borderId="0" xfId="2" applyFill="1" applyBorder="1" applyAlignment="1">
      <alignment horizontal="left"/>
    </xf>
    <xf numFmtId="0" fontId="11" fillId="0" borderId="2" xfId="2" applyFill="1" applyBorder="1" applyAlignment="1">
      <alignment horizontal="right"/>
    </xf>
    <xf numFmtId="184" fontId="11" fillId="0" borderId="2" xfId="2" applyNumberFormat="1" applyBorder="1" applyAlignment="1">
      <alignment horizontal="center"/>
    </xf>
    <xf numFmtId="0" fontId="26" fillId="0" borderId="2" xfId="2" applyFont="1" applyFill="1" applyBorder="1" applyAlignment="1">
      <alignment horizontal="right"/>
    </xf>
    <xf numFmtId="11" fontId="11" fillId="0" borderId="2" xfId="2" applyNumberFormat="1" applyFill="1" applyBorder="1" applyAlignment="1">
      <alignment horizontal="center"/>
    </xf>
    <xf numFmtId="0" fontId="11" fillId="0" borderId="2" xfId="2" applyFill="1" applyBorder="1" applyAlignment="1">
      <alignment horizontal="left"/>
    </xf>
    <xf numFmtId="184" fontId="11" fillId="0" borderId="0" xfId="2" applyNumberFormat="1" applyBorder="1" applyAlignment="1">
      <alignment horizontal="center"/>
    </xf>
    <xf numFmtId="0" fontId="26" fillId="0" borderId="0" xfId="2" applyFont="1" applyFill="1" applyBorder="1" applyAlignment="1">
      <alignment horizontal="right"/>
    </xf>
    <xf numFmtId="11" fontId="11" fillId="0" borderId="0" xfId="2" applyNumberFormat="1" applyFill="1" applyBorder="1" applyAlignment="1">
      <alignment horizontal="center"/>
    </xf>
    <xf numFmtId="2" fontId="17" fillId="0" borderId="0" xfId="2" applyNumberFormat="1" applyFont="1"/>
    <xf numFmtId="0" fontId="17" fillId="0" borderId="0" xfId="2" applyFont="1"/>
    <xf numFmtId="0" fontId="17" fillId="0" borderId="0" xfId="2" applyFont="1" applyAlignment="1">
      <alignment horizontal="center"/>
    </xf>
    <xf numFmtId="0" fontId="26" fillId="10" borderId="12" xfId="2" applyFont="1" applyFill="1" applyBorder="1" applyAlignment="1">
      <alignment horizontal="right" vertical="center"/>
    </xf>
    <xf numFmtId="11" fontId="17" fillId="10" borderId="13" xfId="2" applyNumberFormat="1" applyFont="1" applyFill="1" applyBorder="1" applyAlignment="1">
      <alignment vertical="center"/>
    </xf>
    <xf numFmtId="0" fontId="17" fillId="10" borderId="14" xfId="2" applyFont="1" applyFill="1" applyBorder="1" applyAlignment="1">
      <alignment vertical="center"/>
    </xf>
    <xf numFmtId="0" fontId="28" fillId="0" borderId="0" xfId="2" applyFont="1" applyFill="1" applyBorder="1"/>
    <xf numFmtId="0" fontId="17" fillId="0" borderId="0" xfId="2" applyFont="1" applyFill="1" applyBorder="1"/>
    <xf numFmtId="0" fontId="17" fillId="0" borderId="1" xfId="2" applyFont="1" applyBorder="1"/>
    <xf numFmtId="0" fontId="17" fillId="0" borderId="1" xfId="2" applyFont="1" applyFill="1" applyBorder="1"/>
    <xf numFmtId="2" fontId="17" fillId="0" borderId="1" xfId="2" applyNumberFormat="1" applyFont="1" applyFill="1" applyBorder="1" applyAlignment="1">
      <alignment horizontal="center"/>
    </xf>
    <xf numFmtId="0" fontId="29" fillId="0" borderId="0" xfId="2" applyFont="1"/>
    <xf numFmtId="184" fontId="17" fillId="0" borderId="0" xfId="2" applyNumberFormat="1" applyFont="1"/>
    <xf numFmtId="0" fontId="30" fillId="0" borderId="0" xfId="2" applyFont="1"/>
    <xf numFmtId="196" fontId="17" fillId="0" borderId="0" xfId="2" applyNumberFormat="1" applyFont="1"/>
    <xf numFmtId="0" fontId="18" fillId="0" borderId="0" xfId="2" applyFont="1" applyBorder="1" applyAlignment="1">
      <alignment horizontal="center"/>
    </xf>
    <xf numFmtId="0" fontId="11" fillId="15" borderId="15" xfId="2" applyFill="1" applyBorder="1" applyAlignment="1">
      <alignment horizontal="center"/>
    </xf>
    <xf numFmtId="191" fontId="17" fillId="0" borderId="0" xfId="2" applyNumberFormat="1" applyFont="1" applyBorder="1" applyAlignment="1"/>
    <xf numFmtId="190" fontId="17" fillId="0" borderId="0" xfId="2" applyNumberFormat="1" applyFont="1" applyBorder="1" applyAlignment="1">
      <alignment horizontal="center"/>
    </xf>
    <xf numFmtId="194" fontId="17" fillId="0" borderId="0" xfId="2" applyNumberFormat="1" applyFont="1" applyBorder="1" applyAlignment="1">
      <alignment horizontal="center"/>
    </xf>
    <xf numFmtId="190" fontId="11" fillId="0" borderId="0" xfId="2" applyNumberFormat="1" applyFill="1" applyBorder="1" applyAlignment="1">
      <alignment horizontal="center"/>
    </xf>
    <xf numFmtId="0" fontId="11" fillId="0" borderId="0" xfId="2" applyBorder="1" applyAlignment="1">
      <alignment horizontal="right"/>
    </xf>
    <xf numFmtId="0" fontId="16" fillId="10" borderId="5" xfId="2" applyFont="1" applyFill="1" applyBorder="1" applyAlignment="1">
      <alignment horizontal="left"/>
    </xf>
    <xf numFmtId="0" fontId="11" fillId="10" borderId="2" xfId="2" applyFill="1" applyBorder="1"/>
    <xf numFmtId="2" fontId="16" fillId="10" borderId="2" xfId="2" applyNumberFormat="1" applyFont="1" applyFill="1" applyBorder="1" applyAlignment="1">
      <alignment horizontal="center"/>
    </xf>
    <xf numFmtId="0" fontId="11" fillId="10" borderId="3" xfId="2" applyFill="1" applyBorder="1"/>
    <xf numFmtId="0" fontId="11" fillId="10" borderId="7" xfId="2" applyFill="1" applyBorder="1"/>
    <xf numFmtId="0" fontId="11" fillId="10" borderId="1" xfId="2" applyFill="1" applyBorder="1"/>
    <xf numFmtId="2" fontId="16" fillId="10" borderId="1" xfId="2" applyNumberFormat="1" applyFont="1" applyFill="1" applyBorder="1" applyAlignment="1">
      <alignment horizontal="center"/>
    </xf>
    <xf numFmtId="0" fontId="11" fillId="10" borderId="8" xfId="2" applyFill="1" applyBorder="1"/>
    <xf numFmtId="2" fontId="16" fillId="0" borderId="0" xfId="2" applyNumberFormat="1" applyFont="1" applyFill="1" applyBorder="1" applyAlignment="1">
      <alignment horizontal="center"/>
    </xf>
    <xf numFmtId="0" fontId="16" fillId="19" borderId="0" xfId="2" applyFont="1" applyFill="1" applyAlignment="1">
      <alignment horizontal="center"/>
    </xf>
    <xf numFmtId="0" fontId="11" fillId="0" borderId="0" xfId="2" applyAlignment="1">
      <alignment horizontal="center" wrapText="1"/>
    </xf>
    <xf numFmtId="0" fontId="11" fillId="20" borderId="12" xfId="2" applyFill="1" applyBorder="1" applyAlignment="1">
      <alignment horizontal="center" wrapText="1"/>
    </xf>
    <xf numFmtId="0" fontId="11" fillId="20" borderId="13" xfId="2" applyFill="1" applyBorder="1" applyAlignment="1">
      <alignment horizontal="center" wrapText="1"/>
    </xf>
    <xf numFmtId="0" fontId="11" fillId="20" borderId="14" xfId="2" applyFill="1" applyBorder="1" applyAlignment="1">
      <alignment horizontal="center" wrapText="1"/>
    </xf>
    <xf numFmtId="2" fontId="11" fillId="15" borderId="15" xfId="2" applyNumberFormat="1" applyFill="1" applyBorder="1" applyAlignment="1">
      <alignment horizontal="center"/>
    </xf>
    <xf numFmtId="0" fontId="11" fillId="10" borderId="4" xfId="2" applyFill="1" applyBorder="1"/>
    <xf numFmtId="0" fontId="11" fillId="10" borderId="0" xfId="2" applyFill="1" applyBorder="1"/>
    <xf numFmtId="2" fontId="17" fillId="10" borderId="0" xfId="2" applyNumberFormat="1" applyFont="1" applyFill="1" applyBorder="1" applyAlignment="1">
      <alignment horizontal="center"/>
    </xf>
    <xf numFmtId="0" fontId="26" fillId="10" borderId="6" xfId="2" applyFont="1" applyFill="1" applyBorder="1"/>
    <xf numFmtId="1" fontId="11" fillId="10" borderId="0" xfId="2" applyNumberFormat="1" applyFill="1" applyBorder="1" applyAlignment="1">
      <alignment horizontal="center"/>
    </xf>
    <xf numFmtId="0" fontId="11" fillId="10" borderId="6" xfId="2" applyFill="1" applyBorder="1"/>
    <xf numFmtId="0" fontId="18" fillId="10" borderId="14" xfId="2" applyFont="1" applyFill="1" applyBorder="1" applyAlignment="1">
      <alignment horizontal="center"/>
    </xf>
    <xf numFmtId="0" fontId="18" fillId="10" borderId="13" xfId="2" applyFont="1" applyFill="1" applyBorder="1" applyAlignment="1">
      <alignment horizontal="center"/>
    </xf>
    <xf numFmtId="0" fontId="18" fillId="10" borderId="12" xfId="2" applyFont="1" applyFill="1" applyBorder="1" applyAlignment="1">
      <alignment horizontal="center"/>
    </xf>
    <xf numFmtId="184" fontId="11" fillId="0" borderId="0" xfId="2" applyNumberFormat="1"/>
    <xf numFmtId="185" fontId="11" fillId="0" borderId="0" xfId="2" applyNumberFormat="1"/>
    <xf numFmtId="184" fontId="11" fillId="0" borderId="0" xfId="2" applyNumberFormat="1" applyBorder="1"/>
    <xf numFmtId="190" fontId="11" fillId="0" borderId="0" xfId="2" applyNumberFormat="1" applyBorder="1"/>
    <xf numFmtId="190" fontId="11" fillId="0" borderId="0" xfId="2" applyNumberFormat="1" applyFont="1" applyBorder="1" applyAlignment="1"/>
    <xf numFmtId="0" fontId="11" fillId="0" borderId="0" xfId="2" applyAlignment="1">
      <alignment horizontal="left"/>
    </xf>
    <xf numFmtId="0" fontId="18" fillId="0" borderId="0" xfId="2" applyFont="1" applyAlignment="1">
      <alignment horizontal="center"/>
    </xf>
    <xf numFmtId="0" fontId="11" fillId="0" borderId="0" xfId="2" applyAlignment="1">
      <alignment horizontal="left" wrapText="1"/>
    </xf>
    <xf numFmtId="0" fontId="11" fillId="0" borderId="0" xfId="2" applyAlignment="1">
      <alignment wrapText="1"/>
    </xf>
    <xf numFmtId="0" fontId="11" fillId="15" borderId="12" xfId="2" applyFill="1" applyBorder="1" applyAlignment="1">
      <alignment horizontal="center" vertical="center" wrapText="1"/>
    </xf>
    <xf numFmtId="0" fontId="11" fillId="15" borderId="13" xfId="2" applyFill="1" applyBorder="1" applyAlignment="1">
      <alignment horizontal="center" vertical="center" wrapText="1"/>
    </xf>
    <xf numFmtId="0" fontId="11" fillId="15" borderId="14" xfId="2" applyFill="1" applyBorder="1" applyAlignment="1">
      <alignment horizontal="center" vertical="center" wrapText="1"/>
    </xf>
    <xf numFmtId="2" fontId="17" fillId="18" borderId="0" xfId="2" applyNumberFormat="1" applyFont="1" applyFill="1" applyAlignment="1">
      <alignment horizontal="center"/>
    </xf>
    <xf numFmtId="0" fontId="11" fillId="18" borderId="0" xfId="2" applyFont="1" applyFill="1"/>
    <xf numFmtId="2" fontId="17" fillId="18" borderId="0" xfId="2" applyNumberFormat="1" applyFont="1" applyFill="1" applyBorder="1" applyAlignment="1">
      <alignment horizontal="center"/>
    </xf>
    <xf numFmtId="0" fontId="17" fillId="18" borderId="0" xfId="2" applyFont="1" applyFill="1" applyBorder="1"/>
    <xf numFmtId="0" fontId="11" fillId="18" borderId="0" xfId="2" applyFill="1"/>
    <xf numFmtId="0" fontId="35" fillId="0" borderId="0" xfId="2" applyFont="1" applyFill="1" applyBorder="1" applyAlignment="1">
      <alignment horizontal="left"/>
    </xf>
    <xf numFmtId="0" fontId="3" fillId="17" borderId="0" xfId="0" applyFont="1" applyFill="1" applyAlignment="1">
      <alignment horizontal="center"/>
    </xf>
    <xf numFmtId="0" fontId="36" fillId="17" borderId="0" xfId="0" applyFont="1" applyFill="1" applyAlignment="1">
      <alignment horizontal="center"/>
    </xf>
    <xf numFmtId="0" fontId="4" fillId="17" borderId="0" xfId="0" applyFont="1" applyFill="1" applyAlignment="1">
      <alignment horizontal="center"/>
    </xf>
  </cellXfs>
  <cellStyles count="3">
    <cellStyle name="Neutral" xfId="1" builtinId="2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28</xdr:row>
      <xdr:rowOff>19050</xdr:rowOff>
    </xdr:from>
    <xdr:to>
      <xdr:col>5</xdr:col>
      <xdr:colOff>542925</xdr:colOff>
      <xdr:row>32</xdr:row>
      <xdr:rowOff>47625</xdr:rowOff>
    </xdr:to>
    <xdr:sp macro="" textlink="">
      <xdr:nvSpPr>
        <xdr:cNvPr id="1026" name="Text 2"/>
        <xdr:cNvSpPr txBox="1">
          <a:spLocks noChangeArrowheads="1"/>
        </xdr:cNvSpPr>
      </xdr:nvSpPr>
      <xdr:spPr bwMode="auto">
        <a:xfrm>
          <a:off x="1533525" y="4257675"/>
          <a:ext cx="1762125" cy="561975"/>
        </a:xfrm>
        <a:prstGeom prst="rect">
          <a:avLst/>
        </a:prstGeom>
        <a:pattFill prst="pct25">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l-GR" sz="800" b="1" i="0" u="none" strike="noStrike" baseline="0">
              <a:solidFill>
                <a:srgbClr val="FF0000"/>
              </a:solidFill>
              <a:latin typeface="MS Sans Serif"/>
            </a:rPr>
            <a:t>Μπορείτε να δείτε χρήσιμα σχόλια πηγαίνοντας με το ποντίκι σας πάνω από κελιά που έχουν κόκκινο τριγωνάκι πάνω δεξιά.</a:t>
          </a:r>
        </a:p>
      </xdr:txBody>
    </xdr:sp>
    <xdr:clientData/>
  </xdr:twoCellAnchor>
  <xdr:twoCellAnchor>
    <xdr:from>
      <xdr:col>4</xdr:col>
      <xdr:colOff>123825</xdr:colOff>
      <xdr:row>14</xdr:row>
      <xdr:rowOff>95250</xdr:rowOff>
    </xdr:from>
    <xdr:to>
      <xdr:col>5</xdr:col>
      <xdr:colOff>409575</xdr:colOff>
      <xdr:row>16</xdr:row>
      <xdr:rowOff>95250</xdr:rowOff>
    </xdr:to>
    <xdr:sp macro="" textlink="">
      <xdr:nvSpPr>
        <xdr:cNvPr id="1027" name="Text 3"/>
        <xdr:cNvSpPr txBox="1">
          <a:spLocks noChangeArrowheads="1"/>
        </xdr:cNvSpPr>
      </xdr:nvSpPr>
      <xdr:spPr bwMode="auto">
        <a:xfrm>
          <a:off x="1476375" y="2266950"/>
          <a:ext cx="1524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el-GR" sz="800" b="1" i="0" u="none" strike="noStrike" baseline="0">
              <a:solidFill>
                <a:srgbClr val="000000"/>
              </a:solidFill>
              <a:latin typeface="MS Sans Serif"/>
            </a:rPr>
            <a:t>Μηδενικές τιμές δεν αναγράφονται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21</xdr:row>
      <xdr:rowOff>0</xdr:rowOff>
    </xdr:from>
    <xdr:to>
      <xdr:col>6</xdr:col>
      <xdr:colOff>561975</xdr:colOff>
      <xdr:row>21</xdr:row>
      <xdr:rowOff>0</xdr:rowOff>
    </xdr:to>
    <xdr:sp macro="" textlink="">
      <xdr:nvSpPr>
        <xdr:cNvPr id="2" name="Line 4"/>
        <xdr:cNvSpPr>
          <a:spLocks noChangeShapeType="1"/>
        </xdr:cNvSpPr>
      </xdr:nvSpPr>
      <xdr:spPr bwMode="auto">
        <a:xfrm>
          <a:off x="3286125" y="36290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21</xdr:row>
      <xdr:rowOff>0</xdr:rowOff>
    </xdr:from>
    <xdr:to>
      <xdr:col>7</xdr:col>
      <xdr:colOff>552450</xdr:colOff>
      <xdr:row>21</xdr:row>
      <xdr:rowOff>0</xdr:rowOff>
    </xdr:to>
    <xdr:sp macro="" textlink="">
      <xdr:nvSpPr>
        <xdr:cNvPr id="3" name="Line 5"/>
        <xdr:cNvSpPr>
          <a:spLocks noChangeShapeType="1"/>
        </xdr:cNvSpPr>
      </xdr:nvSpPr>
      <xdr:spPr bwMode="auto">
        <a:xfrm>
          <a:off x="3886200" y="36290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10</xdr:row>
      <xdr:rowOff>19050</xdr:rowOff>
    </xdr:from>
    <xdr:to>
      <xdr:col>4</xdr:col>
      <xdr:colOff>152400</xdr:colOff>
      <xdr:row>11</xdr:row>
      <xdr:rowOff>123825</xdr:rowOff>
    </xdr:to>
    <xdr:sp macro="" textlink="">
      <xdr:nvSpPr>
        <xdr:cNvPr id="4" name="AutoShape 6"/>
        <xdr:cNvSpPr>
          <a:spLocks/>
        </xdr:cNvSpPr>
      </xdr:nvSpPr>
      <xdr:spPr bwMode="auto">
        <a:xfrm>
          <a:off x="1971675" y="1714500"/>
          <a:ext cx="104775" cy="266700"/>
        </a:xfrm>
        <a:prstGeom prst="rightBrace">
          <a:avLst>
            <a:gd name="adj1" fmla="val 21212"/>
            <a:gd name="adj2" fmla="val 28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504825</xdr:colOff>
          <xdr:row>22</xdr:row>
          <xdr:rowOff>47625</xdr:rowOff>
        </xdr:from>
        <xdr:to>
          <xdr:col>3</xdr:col>
          <xdr:colOff>285750</xdr:colOff>
          <xdr:row>24</xdr:row>
          <xdr:rowOff>123825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9"/>
  <sheetViews>
    <sheetView showGridLines="0" showZeros="0" tabSelected="1" workbookViewId="0">
      <selection activeCell="E63" sqref="E63"/>
    </sheetView>
  </sheetViews>
  <sheetFormatPr defaultColWidth="6.83203125" defaultRowHeight="10.5" x14ac:dyDescent="0.15"/>
  <cols>
    <col min="1" max="1" width="11.6640625" style="1" customWidth="1"/>
    <col min="2" max="2" width="8.5" style="1" customWidth="1"/>
    <col min="3" max="3" width="4.5" style="1" customWidth="1"/>
    <col min="4" max="4" width="1.83203125" style="1" customWidth="1"/>
    <col min="5" max="5" width="21.6640625" style="1" customWidth="1"/>
    <col min="6" max="6" width="9.6640625" style="1" customWidth="1"/>
    <col min="7" max="7" width="1.83203125" style="1" customWidth="1"/>
    <col min="8" max="8" width="13.83203125" style="1" customWidth="1"/>
    <col min="9" max="9" width="1.83203125" style="1" customWidth="1"/>
    <col min="10" max="10" width="21.1640625" style="1" customWidth="1"/>
    <col min="11" max="11" width="9.83203125" style="1" customWidth="1"/>
    <col min="12" max="12" width="0.5" style="1" customWidth="1"/>
    <col min="13" max="13" width="9.83203125" style="1" customWidth="1"/>
    <col min="14" max="14" width="10.5" style="1" hidden="1" customWidth="1"/>
    <col min="15" max="15" width="9.33203125" style="1" customWidth="1"/>
    <col min="16" max="16" width="13.5" style="118" customWidth="1"/>
    <col min="17" max="18" width="6.83203125" style="1" customWidth="1"/>
    <col min="19" max="19" width="8.83203125" style="1" customWidth="1"/>
    <col min="20" max="20" width="9" style="1" customWidth="1"/>
    <col min="21" max="21" width="8.83203125" style="1" customWidth="1"/>
    <col min="22" max="22" width="9.1640625" style="1" customWidth="1"/>
    <col min="23" max="23" width="9" style="1" customWidth="1"/>
    <col min="24" max="24" width="8.33203125" style="1" customWidth="1"/>
    <col min="25" max="25" width="9" style="1" customWidth="1"/>
    <col min="26" max="26" width="7.1640625" style="1" customWidth="1"/>
    <col min="27" max="27" width="8" style="1" customWidth="1"/>
    <col min="28" max="29" width="6.83203125" style="1" customWidth="1"/>
    <col min="30" max="30" width="7.5" style="1" customWidth="1"/>
    <col min="31" max="31" width="7.33203125" style="1" customWidth="1"/>
    <col min="32" max="33" width="6.83203125" style="1" customWidth="1"/>
    <col min="34" max="34" width="8" style="1" customWidth="1"/>
    <col min="35" max="35" width="6.83203125" style="1" customWidth="1"/>
    <col min="36" max="36" width="7.5" style="1" customWidth="1"/>
    <col min="37" max="37" width="11.5" style="1" customWidth="1"/>
    <col min="38" max="38" width="9.33203125" style="1" customWidth="1"/>
    <col min="39" max="39" width="6.83203125" style="1" customWidth="1"/>
    <col min="40" max="40" width="8.5" style="1" customWidth="1"/>
    <col min="41" max="41" width="9.33203125" style="1" customWidth="1"/>
    <col min="42" max="43" width="9.5" style="1" customWidth="1"/>
    <col min="44" max="44" width="10.5" style="1" customWidth="1"/>
    <col min="45" max="45" width="16.1640625" style="1" customWidth="1"/>
    <col min="46" max="46" width="12.83203125" style="1" customWidth="1"/>
    <col min="47" max="47" width="6.83203125" style="1" customWidth="1"/>
    <col min="48" max="48" width="16.33203125" style="1" customWidth="1"/>
    <col min="49" max="49" width="7.5" style="1" customWidth="1"/>
    <col min="50" max="50" width="10.33203125" style="1" customWidth="1"/>
    <col min="51" max="51" width="10" style="1" customWidth="1"/>
    <col min="52" max="52" width="9.6640625" style="1" customWidth="1"/>
    <col min="53" max="53" width="9.83203125" style="1" customWidth="1"/>
    <col min="54" max="54" width="12.33203125" style="1" customWidth="1"/>
    <col min="55" max="16384" width="6.83203125" style="1"/>
  </cols>
  <sheetData>
    <row r="1" spans="1:54" ht="22.5" customHeight="1" x14ac:dyDescent="0.15">
      <c r="A1" s="141" t="s">
        <v>163</v>
      </c>
      <c r="B1" s="141"/>
      <c r="C1" s="141"/>
      <c r="D1" s="141"/>
      <c r="E1" s="141"/>
      <c r="F1" s="141"/>
      <c r="G1" s="141"/>
      <c r="H1" s="7"/>
      <c r="I1" s="135"/>
      <c r="J1" s="145" t="s">
        <v>67</v>
      </c>
      <c r="K1" s="146">
        <f ca="1">NOW()</f>
        <v>41671.611299999997</v>
      </c>
      <c r="L1" s="135"/>
      <c r="M1" s="142" t="s">
        <v>109</v>
      </c>
      <c r="O1" s="2"/>
      <c r="P1" s="147" t="s">
        <v>113</v>
      </c>
    </row>
    <row r="2" spans="1:54" ht="21.75" customHeight="1" x14ac:dyDescent="0.2">
      <c r="A2" s="151" t="s">
        <v>171</v>
      </c>
      <c r="B2" s="137" t="s">
        <v>159</v>
      </c>
      <c r="C2" s="137"/>
      <c r="D2" s="150"/>
      <c r="E2" s="136" t="s">
        <v>158</v>
      </c>
      <c r="F2" s="138" t="s">
        <v>160</v>
      </c>
      <c r="G2" s="138"/>
      <c r="H2" s="138"/>
      <c r="I2" s="138"/>
      <c r="J2" s="139" t="s">
        <v>161</v>
      </c>
      <c r="K2" s="140" t="s">
        <v>162</v>
      </c>
      <c r="L2" s="140"/>
      <c r="M2" s="140"/>
      <c r="N2" s="4"/>
      <c r="O2" s="5"/>
      <c r="P2" s="1"/>
      <c r="Q2" s="4"/>
      <c r="R2" s="4"/>
      <c r="AU2" s="6"/>
      <c r="AV2" s="6"/>
      <c r="AW2" s="7" t="s">
        <v>123</v>
      </c>
      <c r="AX2" s="7"/>
      <c r="AY2" s="7"/>
      <c r="AZ2" s="7"/>
      <c r="BA2" s="7"/>
      <c r="BB2" s="7"/>
    </row>
    <row r="3" spans="1:54" x14ac:dyDescent="0.15">
      <c r="A3" s="8"/>
      <c r="B3" s="9"/>
      <c r="C3" s="10"/>
      <c r="D3" s="11"/>
      <c r="E3" s="12"/>
      <c r="F3" s="12"/>
      <c r="G3" s="12"/>
      <c r="H3" s="12"/>
      <c r="I3" s="12"/>
      <c r="J3" s="12"/>
      <c r="K3" s="12"/>
      <c r="L3" s="12"/>
      <c r="M3" s="12"/>
      <c r="N3" s="13"/>
      <c r="O3" s="14"/>
      <c r="P3" s="15"/>
      <c r="Q3" s="4" t="s">
        <v>114</v>
      </c>
      <c r="R3" s="16" t="s">
        <v>116</v>
      </c>
      <c r="S3" s="7"/>
      <c r="T3" s="7"/>
      <c r="U3" s="7"/>
      <c r="V3" s="7"/>
      <c r="W3" s="7"/>
      <c r="X3" s="7"/>
      <c r="Y3" s="7"/>
      <c r="Z3" s="7"/>
      <c r="AA3" s="7"/>
      <c r="AB3" s="7"/>
      <c r="AC3" s="7"/>
      <c r="AD3" s="7"/>
      <c r="AE3" s="7"/>
      <c r="AF3" s="7"/>
      <c r="AG3" s="7"/>
      <c r="AH3" s="7"/>
      <c r="AI3" s="7"/>
      <c r="AJ3" s="7"/>
      <c r="AK3" s="7" t="s">
        <v>120</v>
      </c>
      <c r="AL3" s="7"/>
      <c r="AM3" s="7"/>
      <c r="AN3" s="7"/>
      <c r="AO3" s="7"/>
      <c r="AP3" s="7"/>
      <c r="AQ3" s="7"/>
      <c r="AR3" s="7"/>
      <c r="AS3" s="7"/>
      <c r="AT3" s="7"/>
      <c r="AU3" s="4" t="s">
        <v>121</v>
      </c>
      <c r="AW3" s="4" t="s">
        <v>124</v>
      </c>
      <c r="AX3" s="13" t="s">
        <v>126</v>
      </c>
      <c r="AY3" s="4" t="s">
        <v>127</v>
      </c>
      <c r="AZ3" s="4" t="s">
        <v>108</v>
      </c>
      <c r="BA3" s="13" t="s">
        <v>108</v>
      </c>
      <c r="BB3" s="1" t="s">
        <v>128</v>
      </c>
    </row>
    <row r="4" spans="1:54" x14ac:dyDescent="0.15">
      <c r="B4" s="143" t="s">
        <v>164</v>
      </c>
      <c r="C4" s="143"/>
      <c r="D4" s="8"/>
      <c r="E4" s="143" t="s">
        <v>166</v>
      </c>
      <c r="F4" s="13"/>
      <c r="G4" s="14"/>
      <c r="H4" s="143" t="s">
        <v>167</v>
      </c>
      <c r="I4" s="14"/>
      <c r="J4" s="148" t="s">
        <v>168</v>
      </c>
      <c r="K4" s="143" t="s">
        <v>169</v>
      </c>
      <c r="L4" s="13"/>
      <c r="M4" s="143" t="s">
        <v>170</v>
      </c>
      <c r="N4" s="17"/>
      <c r="O4" s="18"/>
      <c r="P4" s="15"/>
      <c r="Q4" s="19" t="s">
        <v>115</v>
      </c>
      <c r="R4" s="19">
        <v>1</v>
      </c>
      <c r="S4" s="19">
        <v>2</v>
      </c>
      <c r="T4" s="19" t="s">
        <v>0</v>
      </c>
      <c r="U4" s="19" t="s">
        <v>1</v>
      </c>
      <c r="V4" s="19" t="s">
        <v>2</v>
      </c>
      <c r="W4" s="19" t="s">
        <v>3</v>
      </c>
      <c r="X4" s="19" t="s">
        <v>4</v>
      </c>
      <c r="Y4" s="19" t="s">
        <v>5</v>
      </c>
      <c r="Z4" s="19" t="s">
        <v>6</v>
      </c>
      <c r="AA4" s="19" t="s">
        <v>7</v>
      </c>
      <c r="AB4" s="19" t="s">
        <v>8</v>
      </c>
      <c r="AC4" s="19" t="s">
        <v>9</v>
      </c>
      <c r="AD4" s="19" t="s">
        <v>10</v>
      </c>
      <c r="AE4" s="19" t="s">
        <v>11</v>
      </c>
      <c r="AF4" s="20" t="s">
        <v>12</v>
      </c>
      <c r="AG4" s="19" t="s">
        <v>13</v>
      </c>
      <c r="AH4" s="19" t="s">
        <v>14</v>
      </c>
      <c r="AI4" s="19">
        <v>6</v>
      </c>
      <c r="AJ4" s="19" t="s">
        <v>15</v>
      </c>
      <c r="AK4" s="7"/>
      <c r="AL4" s="19" t="s">
        <v>16</v>
      </c>
      <c r="AM4" s="19" t="s">
        <v>17</v>
      </c>
      <c r="AN4" s="19" t="s">
        <v>18</v>
      </c>
      <c r="AO4" s="19" t="s">
        <v>19</v>
      </c>
      <c r="AP4" s="19" t="s">
        <v>20</v>
      </c>
      <c r="AQ4" s="19" t="s">
        <v>21</v>
      </c>
      <c r="AR4" s="19" t="s">
        <v>22</v>
      </c>
      <c r="AS4" s="19" t="s">
        <v>23</v>
      </c>
      <c r="AT4" s="19" t="s">
        <v>24</v>
      </c>
      <c r="AU4" s="19" t="s">
        <v>122</v>
      </c>
      <c r="AV4" s="7"/>
      <c r="AW4" s="19" t="s">
        <v>125</v>
      </c>
      <c r="AX4" s="17" t="s">
        <v>25</v>
      </c>
      <c r="AY4" s="19" t="s">
        <v>125</v>
      </c>
      <c r="AZ4" s="19" t="s">
        <v>125</v>
      </c>
      <c r="BA4" s="17" t="s">
        <v>25</v>
      </c>
      <c r="BB4" s="7" t="s">
        <v>127</v>
      </c>
    </row>
    <row r="5" spans="1:54" ht="12" x14ac:dyDescent="0.2">
      <c r="A5" s="21"/>
      <c r="B5" s="144"/>
      <c r="C5" s="144"/>
      <c r="D5" s="8"/>
      <c r="E5" s="144"/>
      <c r="G5" s="14"/>
      <c r="H5" s="144"/>
      <c r="I5" s="14"/>
      <c r="J5" s="149"/>
      <c r="K5" s="144"/>
      <c r="L5" s="17"/>
      <c r="M5" s="144"/>
      <c r="N5" s="23" t="b">
        <f t="shared" ref="N5:N35" si="0">IF(M6&gt;-0.00499999999,TRUE,FALSE)</f>
        <v>1</v>
      </c>
      <c r="O5" s="24"/>
      <c r="P5" s="25" t="s">
        <v>148</v>
      </c>
      <c r="Q5" s="23">
        <v>60.084299999999999</v>
      </c>
      <c r="R5" s="26">
        <f t="shared" ref="R5:R25" si="1">H6/Q5</f>
        <v>1.3188137333712799</v>
      </c>
      <c r="S5" s="26">
        <f t="shared" ref="S5:AA5" si="2">R5</f>
        <v>1.3188137333712799</v>
      </c>
      <c r="T5" s="26">
        <f t="shared" si="2"/>
        <v>1.3188137333712799</v>
      </c>
      <c r="U5" s="26">
        <f t="shared" si="2"/>
        <v>1.3188137333712799</v>
      </c>
      <c r="V5" s="26">
        <f t="shared" si="2"/>
        <v>1.3188137333712799</v>
      </c>
      <c r="W5" s="26">
        <f t="shared" si="2"/>
        <v>1.3188137333712799</v>
      </c>
      <c r="X5" s="26">
        <f t="shared" si="2"/>
        <v>1.3188137333712799</v>
      </c>
      <c r="Y5" s="26">
        <f t="shared" si="2"/>
        <v>1.3188137333712799</v>
      </c>
      <c r="Z5" s="26">
        <f t="shared" si="2"/>
        <v>1.3188137333712799</v>
      </c>
      <c r="AA5" s="26">
        <f t="shared" si="2"/>
        <v>1.3188137333712799</v>
      </c>
      <c r="AB5" s="27">
        <f>AA5-AA25</f>
        <v>1.3188137333712799</v>
      </c>
      <c r="AC5" s="28">
        <f>AB5</f>
        <v>1.3188137333712799</v>
      </c>
      <c r="AD5" s="26">
        <f>AC5</f>
        <v>1.3188137333712799</v>
      </c>
      <c r="AE5" s="26">
        <f>AD5</f>
        <v>1.3188137333712799</v>
      </c>
      <c r="AF5" s="26">
        <f>AE5</f>
        <v>1.3188137333712799</v>
      </c>
      <c r="AG5" s="26">
        <f>AE5</f>
        <v>1.3188137333712799</v>
      </c>
      <c r="AH5" s="26">
        <f>AG5</f>
        <v>1.3188137333712799</v>
      </c>
      <c r="AI5" s="26">
        <f>AH5</f>
        <v>1.3188137333712799</v>
      </c>
      <c r="AJ5" s="26">
        <f>AI5</f>
        <v>1.3188137333712799</v>
      </c>
      <c r="AL5" s="26">
        <f>AJ5-(AL6)-(AL7)-(AL8*2)-(AL12)-(AL9)-(AL10*4)-(AL11*2)-(AL13)-(AL14*6)-(AL15*6)-(AL16)</f>
        <v>0.9244469766214839</v>
      </c>
      <c r="AM5" s="29">
        <f>IF(AL5&gt;0,AL5,0)</f>
        <v>0.9244469766214839</v>
      </c>
      <c r="AN5" s="26">
        <f>AL5+AL13-(AN13+AN17)</f>
        <v>0.9244469766214839</v>
      </c>
      <c r="AO5" s="26">
        <f>AN5+AL12-AO12</f>
        <v>0.9244469766214839</v>
      </c>
      <c r="AP5" s="26">
        <f>AO5+(6*AL14)-(AP14*6)-(AP19*2)</f>
        <v>0.92444697662148378</v>
      </c>
      <c r="AQ5" s="26">
        <f>AP5+(AL15*6)-(AQ15*6)-(AQ20*4)</f>
        <v>0.9244469766214839</v>
      </c>
      <c r="AR5" s="26">
        <f>AQ5+AL16-AR16-AR21</f>
        <v>0.9244469766214839</v>
      </c>
      <c r="AS5" s="26">
        <f>AR5+(AL11*2)+AN17+AR21-AS21-(AS11*2)-AS17</f>
        <v>0.9244469766214839</v>
      </c>
      <c r="AT5" s="26">
        <f>AS5+(AQ20*4)-(AT20*4)-(AT22*2)</f>
        <v>0.9244469766214839</v>
      </c>
      <c r="AU5" s="29">
        <f>AM5</f>
        <v>0.9244469766214839</v>
      </c>
      <c r="AV5" s="1" t="s">
        <v>69</v>
      </c>
      <c r="AW5" s="1">
        <f>Q5</f>
        <v>60.084299999999999</v>
      </c>
      <c r="AX5" s="26">
        <f t="shared" ref="AX5:AX37" si="3">AW5*AU5</f>
        <v>55.544749477418222</v>
      </c>
      <c r="AY5" s="26">
        <v>2.65</v>
      </c>
      <c r="AZ5" s="26">
        <f t="shared" ref="AZ5:AZ37" si="4">AX5/AY5</f>
        <v>20.960282821667253</v>
      </c>
      <c r="BA5" s="26">
        <f t="shared" ref="BA5:BA37" si="5">AZ5*(100/AZ$38)</f>
        <v>56.755924607754181</v>
      </c>
      <c r="BB5" s="26">
        <f t="shared" ref="BB5:BB37" si="6">(BA5*AY5)/100</f>
        <v>1.5040320021054856</v>
      </c>
    </row>
    <row r="6" spans="1:54" ht="12" x14ac:dyDescent="0.2">
      <c r="A6" s="25" t="s">
        <v>148</v>
      </c>
      <c r="B6" s="163">
        <v>77.489999999999995</v>
      </c>
      <c r="C6" s="36" t="s">
        <v>26</v>
      </c>
      <c r="D6" s="10"/>
      <c r="E6" s="25" t="s">
        <v>145</v>
      </c>
      <c r="F6" s="30" t="s">
        <v>66</v>
      </c>
      <c r="G6" s="31"/>
      <c r="H6" s="32">
        <f>ROUND(B6*F$12,2)</f>
        <v>79.239999999999995</v>
      </c>
      <c r="I6" s="24"/>
      <c r="J6" s="25" t="s">
        <v>69</v>
      </c>
      <c r="K6" s="33">
        <f>ROUND(AX5,2)</f>
        <v>55.54</v>
      </c>
      <c r="L6" s="33" t="b">
        <f t="shared" ref="L6:L36" si="7">IF(K6&gt;-0.00499999999,TRUE,FALSE)</f>
        <v>1</v>
      </c>
      <c r="M6" s="34">
        <f>ROUND(BA5,2)</f>
        <v>56.76</v>
      </c>
      <c r="N6" s="23" t="b">
        <f t="shared" si="0"/>
        <v>1</v>
      </c>
      <c r="O6" s="24"/>
      <c r="P6" s="35" t="s">
        <v>149</v>
      </c>
      <c r="Q6" s="23">
        <v>79.898799999999994</v>
      </c>
      <c r="R6" s="26">
        <f t="shared" si="1"/>
        <v>1.8773748792222161E-3</v>
      </c>
      <c r="S6" s="26">
        <f t="shared" ref="S6:Y8" si="8">R6</f>
        <v>1.8773748792222161E-3</v>
      </c>
      <c r="T6" s="26">
        <f t="shared" si="8"/>
        <v>1.8773748792222161E-3</v>
      </c>
      <c r="U6" s="26">
        <f t="shared" si="8"/>
        <v>1.8773748792222161E-3</v>
      </c>
      <c r="V6" s="26">
        <f t="shared" si="8"/>
        <v>1.8773748792222161E-3</v>
      </c>
      <c r="W6" s="26">
        <f t="shared" si="8"/>
        <v>1.8773748792222161E-3</v>
      </c>
      <c r="X6" s="26">
        <f t="shared" si="8"/>
        <v>1.8773748792222161E-3</v>
      </c>
      <c r="Y6" s="26">
        <f t="shared" si="8"/>
        <v>1.8773748792222161E-3</v>
      </c>
      <c r="Z6" s="29">
        <f>IF(Z26="Ιλμενίτης",Y6,IF(Z26="Και τα δύο",Y9,0))</f>
        <v>1.8773748792222161E-3</v>
      </c>
      <c r="AA6" s="26"/>
      <c r="AB6" s="26"/>
      <c r="AC6" s="26"/>
      <c r="AD6" s="26"/>
      <c r="AE6" s="26"/>
      <c r="AF6" s="26"/>
      <c r="AG6" s="26"/>
      <c r="AH6" s="26"/>
      <c r="AI6" s="26"/>
      <c r="AJ6" s="26"/>
      <c r="AK6" s="1" t="s">
        <v>87</v>
      </c>
      <c r="AL6" s="29">
        <f>AB25</f>
        <v>0</v>
      </c>
      <c r="AM6" s="26"/>
      <c r="AN6" s="26"/>
      <c r="AO6" s="26"/>
      <c r="AP6" s="26"/>
      <c r="AQ6" s="26"/>
      <c r="AR6" s="26"/>
      <c r="AS6" s="26"/>
      <c r="AT6" s="26"/>
      <c r="AU6" s="29">
        <f>AL6</f>
        <v>0</v>
      </c>
      <c r="AV6" s="1" t="s">
        <v>87</v>
      </c>
      <c r="AW6" s="1">
        <f>Q5+Q25</f>
        <v>183.3031</v>
      </c>
      <c r="AX6" s="26">
        <f t="shared" si="3"/>
        <v>0</v>
      </c>
      <c r="AY6" s="26">
        <v>4.5599999999999996</v>
      </c>
      <c r="AZ6" s="26">
        <f t="shared" si="4"/>
        <v>0</v>
      </c>
      <c r="BA6" s="26">
        <f t="shared" si="5"/>
        <v>0</v>
      </c>
      <c r="BB6" s="26">
        <f t="shared" si="6"/>
        <v>0</v>
      </c>
    </row>
    <row r="7" spans="1:54" ht="12" x14ac:dyDescent="0.2">
      <c r="A7" s="35" t="s">
        <v>149</v>
      </c>
      <c r="B7" s="163">
        <v>0.15</v>
      </c>
      <c r="C7" s="36" t="s">
        <v>26</v>
      </c>
      <c r="D7" s="10"/>
      <c r="E7" s="37" t="s">
        <v>165</v>
      </c>
      <c r="F7" s="38">
        <v>0</v>
      </c>
      <c r="G7" s="39"/>
      <c r="H7" s="40">
        <f>ROUND(B7*F$12,2)</f>
        <v>0.15</v>
      </c>
      <c r="I7" s="24"/>
      <c r="J7" s="35" t="s">
        <v>70</v>
      </c>
      <c r="K7" s="41">
        <f>ROUND(AX8+AX14,2)</f>
        <v>8.9</v>
      </c>
      <c r="L7" s="41" t="b">
        <f t="shared" si="7"/>
        <v>1</v>
      </c>
      <c r="M7" s="42">
        <f>ROUND(BA8+BA14,2)</f>
        <v>9.18</v>
      </c>
      <c r="N7" s="23" t="b">
        <f t="shared" si="0"/>
        <v>1</v>
      </c>
      <c r="O7" s="24"/>
      <c r="P7" s="35" t="s">
        <v>150</v>
      </c>
      <c r="Q7" s="23">
        <v>101.96129999999999</v>
      </c>
      <c r="R7" s="26">
        <f t="shared" si="1"/>
        <v>0.12691089658527305</v>
      </c>
      <c r="S7" s="26">
        <f t="shared" si="8"/>
        <v>0.12691089658527305</v>
      </c>
      <c r="T7" s="26">
        <f t="shared" si="8"/>
        <v>0.12691089658527305</v>
      </c>
      <c r="U7" s="26">
        <f t="shared" si="8"/>
        <v>0.12691089658527305</v>
      </c>
      <c r="V7" s="26">
        <f t="shared" si="8"/>
        <v>0.12691089658527305</v>
      </c>
      <c r="W7" s="26">
        <f t="shared" si="8"/>
        <v>0.12691089658527305</v>
      </c>
      <c r="X7" s="26">
        <f t="shared" si="8"/>
        <v>0.12691089658527305</v>
      </c>
      <c r="Y7" s="26">
        <f t="shared" si="8"/>
        <v>0.12691089658527305</v>
      </c>
      <c r="Z7" s="26">
        <f t="shared" ref="Z7:AB8" si="9">Y7</f>
        <v>0.12691089658527305</v>
      </c>
      <c r="AA7" s="26">
        <f t="shared" si="9"/>
        <v>0.12691089658527305</v>
      </c>
      <c r="AB7" s="26">
        <f t="shared" si="9"/>
        <v>0.12691089658527305</v>
      </c>
      <c r="AC7" s="27">
        <f>AB7-AC14</f>
        <v>7.8713520900530604E-2</v>
      </c>
      <c r="AD7" s="27">
        <f>IF(AND(AC7&gt;=AC13,AC7&gt;0),AC7-AC13,0)</f>
        <v>6.2256307235880215E-2</v>
      </c>
      <c r="AE7" s="29">
        <f>IF(AE26="Ανορθίτης",IF(AD12&gt;AD7,0,AD7-AD12),AD7)</f>
        <v>6.1299378618141033E-2</v>
      </c>
      <c r="AF7" s="26"/>
      <c r="AG7" s="26"/>
      <c r="AH7" s="26"/>
      <c r="AI7" s="26"/>
      <c r="AJ7" s="26"/>
      <c r="AK7" s="1" t="s">
        <v>27</v>
      </c>
      <c r="AL7" s="29">
        <f>AC15</f>
        <v>0</v>
      </c>
      <c r="AM7" s="26"/>
      <c r="AN7" s="26"/>
      <c r="AO7" s="26"/>
      <c r="AP7" s="26"/>
      <c r="AQ7" s="26"/>
      <c r="AR7" s="26"/>
      <c r="AS7" s="26"/>
      <c r="AT7" s="26"/>
      <c r="AU7" s="29">
        <f>AL7</f>
        <v>0</v>
      </c>
      <c r="AV7" s="1" t="s">
        <v>27</v>
      </c>
      <c r="AW7" s="1">
        <f>Q14+Q5</f>
        <v>154.28030000000001</v>
      </c>
      <c r="AX7" s="26">
        <f t="shared" si="3"/>
        <v>0</v>
      </c>
      <c r="AY7" s="26">
        <v>2.5</v>
      </c>
      <c r="AZ7" s="26">
        <f t="shared" si="4"/>
        <v>0</v>
      </c>
      <c r="BA7" s="26">
        <f t="shared" si="5"/>
        <v>0</v>
      </c>
      <c r="BB7" s="26">
        <f t="shared" si="6"/>
        <v>0</v>
      </c>
    </row>
    <row r="8" spans="1:54" ht="12" x14ac:dyDescent="0.2">
      <c r="A8" s="35" t="s">
        <v>150</v>
      </c>
      <c r="B8" s="163">
        <v>12.65</v>
      </c>
      <c r="C8" s="36" t="s">
        <v>26</v>
      </c>
      <c r="D8" s="10"/>
      <c r="E8" s="43"/>
      <c r="F8" s="43"/>
      <c r="G8" s="10"/>
      <c r="H8" s="40">
        <f>ROUND(B8*F$12,2)</f>
        <v>12.94</v>
      </c>
      <c r="I8" s="24"/>
      <c r="J8" s="35" t="s">
        <v>71</v>
      </c>
      <c r="K8" s="41">
        <f>ROUND(AX15,2)</f>
        <v>26.83</v>
      </c>
      <c r="L8" s="41" t="b">
        <f t="shared" si="7"/>
        <v>1</v>
      </c>
      <c r="M8" s="42">
        <f>ROUND(BA15,2)</f>
        <v>28.38</v>
      </c>
      <c r="N8" s="23" t="b">
        <f t="shared" si="0"/>
        <v>1</v>
      </c>
      <c r="O8" s="24"/>
      <c r="P8" s="35" t="s">
        <v>151</v>
      </c>
      <c r="Q8" s="23">
        <v>159.69220000000001</v>
      </c>
      <c r="R8" s="26">
        <f t="shared" si="1"/>
        <v>6.888251273387179E-3</v>
      </c>
      <c r="S8" s="26">
        <f t="shared" si="8"/>
        <v>6.888251273387179E-3</v>
      </c>
      <c r="T8" s="26">
        <f t="shared" si="8"/>
        <v>6.888251273387179E-3</v>
      </c>
      <c r="U8" s="26">
        <f t="shared" si="8"/>
        <v>6.888251273387179E-3</v>
      </c>
      <c r="V8" s="26">
        <f t="shared" si="8"/>
        <v>6.888251273387179E-3</v>
      </c>
      <c r="W8" s="26">
        <f t="shared" si="8"/>
        <v>6.888251273387179E-3</v>
      </c>
      <c r="X8" s="26">
        <f t="shared" si="8"/>
        <v>6.888251273387179E-3</v>
      </c>
      <c r="Y8" s="26">
        <f t="shared" si="8"/>
        <v>6.888251273387179E-3</v>
      </c>
      <c r="Z8" s="26">
        <f t="shared" si="9"/>
        <v>6.888251273387179E-3</v>
      </c>
      <c r="AA8" s="26">
        <f t="shared" si="9"/>
        <v>6.888251273387179E-3</v>
      </c>
      <c r="AB8" s="26">
        <f t="shared" si="9"/>
        <v>6.888251273387179E-3</v>
      </c>
      <c r="AC8" s="26">
        <f t="shared" ref="AC8:AF9" si="10">AB8</f>
        <v>6.888251273387179E-3</v>
      </c>
      <c r="AD8" s="26">
        <f t="shared" si="10"/>
        <v>6.888251273387179E-3</v>
      </c>
      <c r="AE8" s="26">
        <f t="shared" si="10"/>
        <v>6.888251273387179E-3</v>
      </c>
      <c r="AF8" s="26">
        <f t="shared" si="10"/>
        <v>6.888251273387179E-3</v>
      </c>
      <c r="AG8" s="27">
        <f>AF8-AG19</f>
        <v>6.888251273387179E-3</v>
      </c>
      <c r="AH8" s="29">
        <f>IF(AH26="Μαγνητίτης",AG8,IF(AH26="Και τα δύο",AG9,0))</f>
        <v>6.888251273387179E-3</v>
      </c>
      <c r="AI8" s="26"/>
      <c r="AJ8" s="26"/>
      <c r="AK8" s="1" t="s">
        <v>97</v>
      </c>
      <c r="AL8" s="29">
        <f>AE21</f>
        <v>9.569286177391836E-4</v>
      </c>
      <c r="AM8" s="26"/>
      <c r="AN8" s="26"/>
      <c r="AO8" s="26"/>
      <c r="AP8" s="26"/>
      <c r="AQ8" s="26"/>
      <c r="AR8" s="26"/>
      <c r="AS8" s="26"/>
      <c r="AT8" s="26"/>
      <c r="AU8" s="29">
        <f>AL8</f>
        <v>9.569286177391836E-4</v>
      </c>
      <c r="AV8" s="1" t="s">
        <v>97</v>
      </c>
      <c r="AW8" s="1">
        <f>Q12+Q7+(Q5*2)</f>
        <v>278.20929999999998</v>
      </c>
      <c r="AX8" s="26">
        <f t="shared" si="3"/>
        <v>0.26622644089118586</v>
      </c>
      <c r="AY8" s="26">
        <v>2.76</v>
      </c>
      <c r="AZ8" s="26">
        <f t="shared" si="4"/>
        <v>9.6458855395357201E-2</v>
      </c>
      <c r="BA8" s="26">
        <f t="shared" si="5"/>
        <v>0.26118977358978623</v>
      </c>
      <c r="BB8" s="26">
        <f t="shared" si="6"/>
        <v>7.2088377510780999E-3</v>
      </c>
    </row>
    <row r="9" spans="1:54" s="6" customFormat="1" ht="12" x14ac:dyDescent="0.2">
      <c r="A9" s="35" t="s">
        <v>151</v>
      </c>
      <c r="B9" s="163">
        <v>1.08</v>
      </c>
      <c r="C9" s="36" t="s">
        <v>26</v>
      </c>
      <c r="D9" s="10"/>
      <c r="E9" s="44" t="s">
        <v>146</v>
      </c>
      <c r="F9" s="34">
        <f>(B9/1.11134)+B10</f>
        <v>1.7717998092392968</v>
      </c>
      <c r="G9" s="24"/>
      <c r="H9" s="40">
        <f>ROUND(F10*F$12,2)</f>
        <v>1.1000000000000001</v>
      </c>
      <c r="I9" s="24"/>
      <c r="J9" s="35" t="s">
        <v>72</v>
      </c>
      <c r="K9" s="41">
        <f>ROUND(AX19,2)</f>
        <v>0</v>
      </c>
      <c r="L9" s="41" t="b">
        <f t="shared" si="7"/>
        <v>1</v>
      </c>
      <c r="M9" s="42">
        <f>ROUND(BA19,2)</f>
        <v>0</v>
      </c>
      <c r="N9" s="23" t="b">
        <f t="shared" si="0"/>
        <v>1</v>
      </c>
      <c r="O9" s="24"/>
      <c r="P9" s="35" t="s">
        <v>28</v>
      </c>
      <c r="Q9" s="45">
        <v>71.846400000000003</v>
      </c>
      <c r="R9" s="46">
        <f t="shared" si="1"/>
        <v>1.1413237128095492E-2</v>
      </c>
      <c r="S9" s="46">
        <f>R9+R10+R23</f>
        <v>1.1554206489814416E-2</v>
      </c>
      <c r="T9" s="46">
        <f>S9</f>
        <v>1.1554206489814416E-2</v>
      </c>
      <c r="U9" s="46">
        <f>T9</f>
        <v>1.1554206489814416E-2</v>
      </c>
      <c r="V9" s="46">
        <f>U9</f>
        <v>1.1554206489814416E-2</v>
      </c>
      <c r="W9" s="46">
        <f>V9</f>
        <v>1.1554206489814416E-2</v>
      </c>
      <c r="X9" s="47">
        <f>IF(W9&gt;=(W18*0.5),W9-(W18*0.5),0)</f>
        <v>1.1554206489814416E-2</v>
      </c>
      <c r="Y9" s="47">
        <f>IF(X9&gt;=Y24,X9-Y24,0)</f>
        <v>1.1554206489814416E-2</v>
      </c>
      <c r="Z9" s="47">
        <f>Y9-Z6</f>
        <v>9.6768316105921987E-3</v>
      </c>
      <c r="AA9" s="46">
        <f t="shared" ref="AA9:AB11" si="11">Z9</f>
        <v>9.6768316105921987E-3</v>
      </c>
      <c r="AB9" s="46">
        <f t="shared" si="11"/>
        <v>9.6768316105921987E-3</v>
      </c>
      <c r="AC9" s="46">
        <f t="shared" si="10"/>
        <v>9.6768316105921987E-3</v>
      </c>
      <c r="AD9" s="46">
        <f t="shared" si="10"/>
        <v>9.6768316105921987E-3</v>
      </c>
      <c r="AE9" s="46">
        <f t="shared" si="10"/>
        <v>9.6768316105921987E-3</v>
      </c>
      <c r="AF9" s="46">
        <f t="shared" si="10"/>
        <v>9.6768316105921987E-3</v>
      </c>
      <c r="AG9" s="46">
        <f t="shared" ref="AG9:AG14" si="12">AF9</f>
        <v>9.6768316105921987E-3</v>
      </c>
      <c r="AH9" s="47">
        <f>AG9-AH8</f>
        <v>2.7885803372050197E-3</v>
      </c>
      <c r="AI9" s="47">
        <f>AH9+AH11</f>
        <v>4.525363417960471E-3</v>
      </c>
      <c r="AJ9" s="48">
        <f>AI9-AJ12</f>
        <v>4.525363417960471E-3</v>
      </c>
      <c r="AK9" s="6" t="s">
        <v>29</v>
      </c>
      <c r="AL9" s="49">
        <f>AG20</f>
        <v>0</v>
      </c>
      <c r="AM9" s="46"/>
      <c r="AN9" s="46"/>
      <c r="AO9" s="46"/>
      <c r="AP9" s="46"/>
      <c r="AQ9" s="46"/>
      <c r="AR9" s="46"/>
      <c r="AS9" s="46"/>
      <c r="AT9" s="46"/>
      <c r="AU9" s="49">
        <f>AL9</f>
        <v>0</v>
      </c>
      <c r="AV9" s="6" t="s">
        <v>29</v>
      </c>
      <c r="AW9" s="6">
        <f>Q13+Q5</f>
        <v>122.06319999999999</v>
      </c>
      <c r="AX9" s="46">
        <f t="shared" si="3"/>
        <v>0</v>
      </c>
      <c r="AY9" s="46">
        <v>2.4</v>
      </c>
      <c r="AZ9" s="26">
        <f t="shared" si="4"/>
        <v>0</v>
      </c>
      <c r="BA9" s="26">
        <f t="shared" si="5"/>
        <v>0</v>
      </c>
      <c r="BB9" s="26">
        <f t="shared" si="6"/>
        <v>0</v>
      </c>
    </row>
    <row r="10" spans="1:54" ht="11.25" x14ac:dyDescent="0.2">
      <c r="A10" s="35" t="s">
        <v>28</v>
      </c>
      <c r="B10" s="163">
        <v>0.8</v>
      </c>
      <c r="C10" s="36" t="s">
        <v>26</v>
      </c>
      <c r="D10" s="2"/>
      <c r="E10" s="50" t="s">
        <v>173</v>
      </c>
      <c r="F10" s="42">
        <f>IF(F7&gt;0.00001,F9*F7*1.11134,B9)</f>
        <v>1.08</v>
      </c>
      <c r="G10" s="24"/>
      <c r="H10" s="40">
        <f>ROUND(F11*F$12,2)</f>
        <v>0.82</v>
      </c>
      <c r="I10" s="51"/>
      <c r="J10" s="35" t="s">
        <v>73</v>
      </c>
      <c r="K10" s="41">
        <f>ROUND(AX20,2)</f>
        <v>0</v>
      </c>
      <c r="L10" s="41" t="b">
        <f t="shared" si="7"/>
        <v>1</v>
      </c>
      <c r="M10" s="42">
        <f>ROUND(BA20,2)</f>
        <v>0</v>
      </c>
      <c r="N10" s="23" t="b">
        <f t="shared" si="0"/>
        <v>1</v>
      </c>
      <c r="O10" s="24"/>
      <c r="P10" s="35" t="s">
        <v>30</v>
      </c>
      <c r="Q10" s="23">
        <v>70.937399999999997</v>
      </c>
      <c r="R10" s="26">
        <f t="shared" si="1"/>
        <v>1.4096936171892403E-4</v>
      </c>
      <c r="S10" s="26"/>
      <c r="T10" s="26"/>
      <c r="U10" s="26"/>
      <c r="V10" s="26"/>
      <c r="W10" s="26"/>
      <c r="X10" s="26"/>
      <c r="Y10" s="26"/>
      <c r="Z10" s="52">
        <f>IF(Z26="Τιτανίτης",Y6,IF(Z26="Και τα δύο",Y6-Z6,0))</f>
        <v>0</v>
      </c>
      <c r="AA10" s="52">
        <f t="shared" si="11"/>
        <v>0</v>
      </c>
      <c r="AB10" s="52">
        <f t="shared" si="11"/>
        <v>0</v>
      </c>
      <c r="AC10" s="52">
        <f t="shared" ref="AC10:AE11" si="13">AB10</f>
        <v>0</v>
      </c>
      <c r="AD10" s="52">
        <f t="shared" si="13"/>
        <v>0</v>
      </c>
      <c r="AE10" s="52">
        <f t="shared" si="13"/>
        <v>0</v>
      </c>
      <c r="AF10" s="52">
        <f>IF(AF26="Τιτανίτης",AE10,IF(AF26="Και τα δύο",AE12,0))</f>
        <v>0</v>
      </c>
      <c r="AG10" s="52">
        <f t="shared" si="12"/>
        <v>0</v>
      </c>
      <c r="AH10" s="52">
        <f>AG10</f>
        <v>0</v>
      </c>
      <c r="AI10" s="52">
        <f>AH10</f>
        <v>0</v>
      </c>
      <c r="AJ10" s="52">
        <f>AI10</f>
        <v>0</v>
      </c>
      <c r="AK10" s="1" t="s">
        <v>81</v>
      </c>
      <c r="AL10" s="29">
        <f>AG19</f>
        <v>0</v>
      </c>
      <c r="AM10" s="26"/>
      <c r="AN10" s="26"/>
      <c r="AO10" s="26"/>
      <c r="AP10" s="26"/>
      <c r="AQ10" s="26"/>
      <c r="AR10" s="26"/>
      <c r="AS10" s="26"/>
      <c r="AT10" s="26"/>
      <c r="AU10" s="29">
        <f>AL10</f>
        <v>0</v>
      </c>
      <c r="AV10" s="1" t="s">
        <v>81</v>
      </c>
      <c r="AW10" s="1">
        <f>Q13+Q8+(Q5*4)</f>
        <v>462.00830000000002</v>
      </c>
      <c r="AX10" s="26">
        <f t="shared" si="3"/>
        <v>0</v>
      </c>
      <c r="AY10" s="26">
        <v>3.6</v>
      </c>
      <c r="AZ10" s="26">
        <f t="shared" si="4"/>
        <v>0</v>
      </c>
      <c r="BA10" s="26">
        <f t="shared" si="5"/>
        <v>0</v>
      </c>
      <c r="BB10" s="26">
        <f t="shared" si="6"/>
        <v>0</v>
      </c>
    </row>
    <row r="11" spans="1:54" ht="11.25" x14ac:dyDescent="0.2">
      <c r="A11" s="35" t="s">
        <v>30</v>
      </c>
      <c r="B11" s="163">
        <v>0.01</v>
      </c>
      <c r="C11" s="36" t="s">
        <v>26</v>
      </c>
      <c r="D11" s="10"/>
      <c r="E11" s="50" t="s">
        <v>174</v>
      </c>
      <c r="F11" s="42">
        <f>IF(F7&gt;0.00001,F9*(1-F7),B10)</f>
        <v>0.8</v>
      </c>
      <c r="G11" s="24"/>
      <c r="H11" s="40">
        <f t="shared" ref="H11:H21" si="14">ROUND(B11*F$12,2)</f>
        <v>0.01</v>
      </c>
      <c r="I11" s="24"/>
      <c r="J11" s="35" t="s">
        <v>74</v>
      </c>
      <c r="K11" s="41">
        <f>ROUND(AX22,2)</f>
        <v>0</v>
      </c>
      <c r="L11" s="41" t="b">
        <f t="shared" si="7"/>
        <v>1</v>
      </c>
      <c r="M11" s="42">
        <f>ROUND(BA22,2)</f>
        <v>0</v>
      </c>
      <c r="N11" s="23" t="b">
        <f t="shared" si="0"/>
        <v>1</v>
      </c>
      <c r="O11" s="24"/>
      <c r="P11" s="35" t="s">
        <v>31</v>
      </c>
      <c r="Q11" s="23">
        <v>40.304400000000001</v>
      </c>
      <c r="R11" s="26">
        <f t="shared" si="1"/>
        <v>1.7367830807554511E-3</v>
      </c>
      <c r="S11" s="26">
        <f t="shared" ref="S11:X11" si="15">R11</f>
        <v>1.7367830807554511E-3</v>
      </c>
      <c r="T11" s="26">
        <f t="shared" si="15"/>
        <v>1.7367830807554511E-3</v>
      </c>
      <c r="U11" s="26">
        <f t="shared" si="15"/>
        <v>1.7367830807554511E-3</v>
      </c>
      <c r="V11" s="26">
        <f t="shared" si="15"/>
        <v>1.7367830807554511E-3</v>
      </c>
      <c r="W11" s="26">
        <f t="shared" si="15"/>
        <v>1.7367830807554511E-3</v>
      </c>
      <c r="X11" s="26">
        <f t="shared" si="15"/>
        <v>1.7367830807554511E-3</v>
      </c>
      <c r="Y11" s="27">
        <f>X11-Y23</f>
        <v>1.7367830807554511E-3</v>
      </c>
      <c r="Z11" s="26">
        <f>Y11</f>
        <v>1.7367830807554511E-3</v>
      </c>
      <c r="AA11" s="26">
        <f t="shared" si="11"/>
        <v>1.7367830807554511E-3</v>
      </c>
      <c r="AB11" s="26">
        <f t="shared" si="11"/>
        <v>1.7367830807554511E-3</v>
      </c>
      <c r="AC11" s="26">
        <f t="shared" si="13"/>
        <v>1.7367830807554511E-3</v>
      </c>
      <c r="AD11" s="26">
        <f t="shared" si="13"/>
        <v>1.7367830807554511E-3</v>
      </c>
      <c r="AE11" s="26">
        <f t="shared" si="13"/>
        <v>1.7367830807554511E-3</v>
      </c>
      <c r="AF11" s="26">
        <f>AE11</f>
        <v>1.7367830807554511E-3</v>
      </c>
      <c r="AG11" s="26">
        <f t="shared" si="12"/>
        <v>1.7367830807554511E-3</v>
      </c>
      <c r="AH11" s="26">
        <f>AG11</f>
        <v>1.7367830807554511E-3</v>
      </c>
      <c r="AI11" s="27">
        <v>0</v>
      </c>
      <c r="AJ11" s="26"/>
      <c r="AK11" s="1" t="s">
        <v>76</v>
      </c>
      <c r="AL11" s="52">
        <f>AJ12</f>
        <v>0</v>
      </c>
      <c r="AM11" s="26"/>
      <c r="AN11" s="26"/>
      <c r="AO11" s="26"/>
      <c r="AP11" s="26"/>
      <c r="AQ11" s="26"/>
      <c r="AR11" s="26"/>
      <c r="AS11" s="29">
        <f>IF(AS26="Διοψίδιος",AL11,IF(AS26="Και τα δύο",AL11+AR5,0))</f>
        <v>0</v>
      </c>
      <c r="AT11" s="26"/>
      <c r="AU11" s="29">
        <f>AS11</f>
        <v>0</v>
      </c>
      <c r="AV11" s="1" t="s">
        <v>76</v>
      </c>
      <c r="AW11" s="1">
        <f>Q12+AI31+(2*Q5)</f>
        <v>235.98893865389712</v>
      </c>
      <c r="AX11" s="26">
        <f t="shared" si="3"/>
        <v>0</v>
      </c>
      <c r="AY11" s="53">
        <f>(AI$30*3.22)+((1-AI$30)*3.56)</f>
        <v>3.429511861718503</v>
      </c>
      <c r="AZ11" s="26">
        <f t="shared" si="4"/>
        <v>0</v>
      </c>
      <c r="BA11" s="26">
        <f t="shared" si="5"/>
        <v>0</v>
      </c>
      <c r="BB11" s="26">
        <f t="shared" si="6"/>
        <v>0</v>
      </c>
    </row>
    <row r="12" spans="1:54" ht="11.25" x14ac:dyDescent="0.2">
      <c r="A12" s="35" t="s">
        <v>31</v>
      </c>
      <c r="B12" s="163">
        <v>7.0000000000000007E-2</v>
      </c>
      <c r="C12" s="36" t="s">
        <v>26</v>
      </c>
      <c r="D12" s="10"/>
      <c r="E12" s="21" t="s">
        <v>96</v>
      </c>
      <c r="F12" s="54">
        <f>IF(OR(F6="Y",F6="y"),100/(B27-(B9+B10)+(F10+F11)),B27/(B27-(B9+B10)+(F10+F11)))</f>
        <v>1.0225994477962983</v>
      </c>
      <c r="G12" s="55"/>
      <c r="H12" s="40">
        <f t="shared" si="14"/>
        <v>7.0000000000000007E-2</v>
      </c>
      <c r="I12" s="24"/>
      <c r="J12" s="35" t="s">
        <v>75</v>
      </c>
      <c r="K12" s="41">
        <f>ROUND(AX34,2)</f>
        <v>6.25</v>
      </c>
      <c r="L12" s="41" t="b">
        <f t="shared" si="7"/>
        <v>1</v>
      </c>
      <c r="M12" s="42">
        <f>ROUND(BA34,2)</f>
        <v>4.25</v>
      </c>
      <c r="N12" s="23" t="b">
        <f t="shared" si="0"/>
        <v>1</v>
      </c>
      <c r="O12" s="24"/>
      <c r="P12" s="35" t="s">
        <v>32</v>
      </c>
      <c r="Q12" s="23">
        <v>56.0794</v>
      </c>
      <c r="R12" s="26">
        <f t="shared" si="1"/>
        <v>1.4265487861853017E-3</v>
      </c>
      <c r="S12" s="26">
        <f>R12+R21+R22</f>
        <v>1.4265487861853017E-3</v>
      </c>
      <c r="T12" s="27">
        <f>IF(S12&gt;=(3.333*S15),S12-(3.333*S15),0)</f>
        <v>9.569286177391836E-4</v>
      </c>
      <c r="U12" s="26">
        <f>T12</f>
        <v>9.569286177391836E-4</v>
      </c>
      <c r="V12" s="27">
        <f>IF(U12&gt;=(U19/2),U12-(U19/2),0)</f>
        <v>9.569286177391836E-4</v>
      </c>
      <c r="W12" s="27">
        <f>V12-W17</f>
        <v>9.569286177391836E-4</v>
      </c>
      <c r="X12" s="26">
        <f t="shared" ref="X12:Y14" si="16">W12</f>
        <v>9.569286177391836E-4</v>
      </c>
      <c r="Y12" s="26">
        <f t="shared" si="16"/>
        <v>9.569286177391836E-4</v>
      </c>
      <c r="Z12" s="27">
        <f>Y12</f>
        <v>9.569286177391836E-4</v>
      </c>
      <c r="AA12" s="27">
        <f>Z12-AA16</f>
        <v>9.569286177391836E-4</v>
      </c>
      <c r="AB12" s="26">
        <f>AA12</f>
        <v>9.569286177391836E-4</v>
      </c>
      <c r="AC12" s="26">
        <f>AB12</f>
        <v>9.569286177391836E-4</v>
      </c>
      <c r="AD12" s="26">
        <f>AC12</f>
        <v>9.569286177391836E-4</v>
      </c>
      <c r="AE12" s="27">
        <f>IF(AE26="Ανορθίτης",IF(AD7&gt;AD12,0,AD12-AD7),AD12)</f>
        <v>0</v>
      </c>
      <c r="AF12" s="27">
        <f>AE12-AF10</f>
        <v>0</v>
      </c>
      <c r="AG12" s="26">
        <f t="shared" si="12"/>
        <v>0</v>
      </c>
      <c r="AH12" s="26">
        <f>AG12</f>
        <v>0</v>
      </c>
      <c r="AI12" s="26">
        <f>AH12</f>
        <v>0</v>
      </c>
      <c r="AJ12" s="52">
        <f>IF(AJ26="Διοψίδιος",AI12,IF(AJ26="Και τα δύο",AI9,0))</f>
        <v>0</v>
      </c>
      <c r="AK12" s="1" t="s">
        <v>90</v>
      </c>
      <c r="AL12" s="52">
        <f>AF10</f>
        <v>0</v>
      </c>
      <c r="AM12" s="26"/>
      <c r="AN12" s="26"/>
      <c r="AO12" s="29">
        <f>IF(AO26="Τιτανίτης",AL12,IF(AO26="Και τα δύο",AL12+AN5,0))</f>
        <v>0</v>
      </c>
      <c r="AP12" s="26"/>
      <c r="AQ12" s="26"/>
      <c r="AR12" s="26"/>
      <c r="AS12" s="26"/>
      <c r="AT12" s="26"/>
      <c r="AU12" s="29">
        <f>AO12</f>
        <v>0</v>
      </c>
      <c r="AV12" s="1" t="s">
        <v>90</v>
      </c>
      <c r="AW12" s="1">
        <f>Q12+Q6+Q5</f>
        <v>196.0625</v>
      </c>
      <c r="AX12" s="26">
        <f t="shared" si="3"/>
        <v>0</v>
      </c>
      <c r="AY12" s="26">
        <v>3.5</v>
      </c>
      <c r="AZ12" s="26">
        <f t="shared" si="4"/>
        <v>0</v>
      </c>
      <c r="BA12" s="26">
        <f t="shared" si="5"/>
        <v>0</v>
      </c>
      <c r="BB12" s="26">
        <f t="shared" si="6"/>
        <v>0</v>
      </c>
    </row>
    <row r="13" spans="1:54" ht="12" x14ac:dyDescent="0.2">
      <c r="A13" s="35" t="s">
        <v>32</v>
      </c>
      <c r="B13" s="163">
        <v>0.08</v>
      </c>
      <c r="C13" s="36" t="s">
        <v>26</v>
      </c>
      <c r="D13" s="10"/>
      <c r="E13" s="10"/>
      <c r="F13" s="10"/>
      <c r="G13" s="24"/>
      <c r="H13" s="40">
        <f t="shared" si="14"/>
        <v>0.08</v>
      </c>
      <c r="I13" s="24"/>
      <c r="J13" s="35" t="s">
        <v>76</v>
      </c>
      <c r="K13" s="41">
        <f>ROUND(AX11,2)</f>
        <v>0</v>
      </c>
      <c r="L13" s="41" t="b">
        <f t="shared" si="7"/>
        <v>1</v>
      </c>
      <c r="M13" s="42">
        <f>ROUND(BA11,2)</f>
        <v>0</v>
      </c>
      <c r="N13" s="23" t="b">
        <f t="shared" si="0"/>
        <v>1</v>
      </c>
      <c r="O13" s="24"/>
      <c r="P13" s="35" t="s">
        <v>152</v>
      </c>
      <c r="Q13" s="23">
        <v>61.978900000000003</v>
      </c>
      <c r="R13" s="26">
        <f t="shared" si="1"/>
        <v>1.6457213664650389E-2</v>
      </c>
      <c r="S13" s="26">
        <f>R13</f>
        <v>1.6457213664650389E-2</v>
      </c>
      <c r="T13" s="26">
        <f>S13</f>
        <v>1.6457213664650389E-2</v>
      </c>
      <c r="U13" s="27">
        <f>IF(T13&gt;T20,T13-T20,0)</f>
        <v>1.6457213664650389E-2</v>
      </c>
      <c r="V13" s="26">
        <f>U13</f>
        <v>1.6457213664650389E-2</v>
      </c>
      <c r="W13" s="27">
        <f>V13-W21</f>
        <v>1.6457213664650389E-2</v>
      </c>
      <c r="X13" s="26">
        <f t="shared" si="16"/>
        <v>1.6457213664650389E-2</v>
      </c>
      <c r="Y13" s="26">
        <f t="shared" si="16"/>
        <v>1.6457213664650389E-2</v>
      </c>
      <c r="Z13" s="26">
        <f>Y13</f>
        <v>1.6457213664650389E-2</v>
      </c>
      <c r="AA13" s="27">
        <f>IF(AA17&gt;Z13,0,Z13-AA17)</f>
        <v>1.6457213664650389E-2</v>
      </c>
      <c r="AB13" s="26">
        <f>AA13</f>
        <v>1.6457213664650389E-2</v>
      </c>
      <c r="AC13" s="26">
        <f>AB13</f>
        <v>1.6457213664650389E-2</v>
      </c>
      <c r="AD13" s="52">
        <f>IF(AD26="Αλβίτης",AC13,IF(AD26="Και τα δύο",AC7,0))</f>
        <v>1.6457213664650389E-2</v>
      </c>
      <c r="AE13" s="52">
        <f>AD13</f>
        <v>1.6457213664650389E-2</v>
      </c>
      <c r="AF13" s="52">
        <f>AE13</f>
        <v>1.6457213664650389E-2</v>
      </c>
      <c r="AG13" s="52">
        <f t="shared" si="12"/>
        <v>1.6457213664650389E-2</v>
      </c>
      <c r="AH13" s="52">
        <f>AG13</f>
        <v>1.6457213664650389E-2</v>
      </c>
      <c r="AI13" s="52">
        <f>AH13</f>
        <v>1.6457213664650389E-2</v>
      </c>
      <c r="AJ13" s="52">
        <f>AI13</f>
        <v>1.6457213664650389E-2</v>
      </c>
      <c r="AK13" s="1" t="s">
        <v>77</v>
      </c>
      <c r="AL13" s="52">
        <f>AJ9</f>
        <v>4.525363417960471E-3</v>
      </c>
      <c r="AM13" s="26"/>
      <c r="AN13" s="29">
        <f>IF(AN26="Υπερσθενής",AL13,IF(AN26="Και τα δύο",AL13+(2*AL5),0))</f>
        <v>4.525363417960471E-3</v>
      </c>
      <c r="AO13" s="26"/>
      <c r="AP13" s="26"/>
      <c r="AQ13" s="26"/>
      <c r="AR13" s="26"/>
      <c r="AS13" s="26"/>
      <c r="AT13" s="26"/>
      <c r="AU13" s="29">
        <f>AN13</f>
        <v>4.525363417960471E-3</v>
      </c>
      <c r="AV13" s="1" t="s">
        <v>77</v>
      </c>
      <c r="AW13" s="1">
        <f>AI31+Q5</f>
        <v>119.82523865389713</v>
      </c>
      <c r="AX13" s="26">
        <f t="shared" si="3"/>
        <v>0.54225275155272912</v>
      </c>
      <c r="AY13" s="53">
        <f>(AI$30*3.21)+((1-AI$30)*3.96)</f>
        <v>3.6721585184966976</v>
      </c>
      <c r="AZ13" s="26">
        <f t="shared" si="4"/>
        <v>0.14766594329231617</v>
      </c>
      <c r="BA13" s="26">
        <f t="shared" si="5"/>
        <v>0.39984752190309203</v>
      </c>
      <c r="BB13" s="26">
        <f t="shared" si="6"/>
        <v>1.4683034836562343E-2</v>
      </c>
    </row>
    <row r="14" spans="1:54" ht="12" x14ac:dyDescent="0.2">
      <c r="A14" s="35" t="s">
        <v>152</v>
      </c>
      <c r="B14" s="163">
        <v>1</v>
      </c>
      <c r="C14" s="36" t="s">
        <v>26</v>
      </c>
      <c r="D14" s="10"/>
      <c r="E14" s="24"/>
      <c r="F14" s="24"/>
      <c r="G14" s="24"/>
      <c r="H14" s="40">
        <f t="shared" si="14"/>
        <v>1.02</v>
      </c>
      <c r="I14" s="24"/>
      <c r="J14" s="35" t="s">
        <v>77</v>
      </c>
      <c r="K14" s="41">
        <f>ROUND(AX13,2)</f>
        <v>0.54</v>
      </c>
      <c r="L14" s="41" t="b">
        <f t="shared" si="7"/>
        <v>1</v>
      </c>
      <c r="M14" s="42">
        <f>ROUND(BA13,2)</f>
        <v>0.4</v>
      </c>
      <c r="N14" s="23" t="b">
        <f t="shared" si="0"/>
        <v>1</v>
      </c>
      <c r="O14" s="24"/>
      <c r="P14" s="35" t="s">
        <v>153</v>
      </c>
      <c r="Q14" s="23">
        <v>94.195999999999998</v>
      </c>
      <c r="R14" s="26">
        <f t="shared" si="1"/>
        <v>4.8197375684742451E-2</v>
      </c>
      <c r="S14" s="26">
        <f>R14</f>
        <v>4.8197375684742451E-2</v>
      </c>
      <c r="T14" s="26">
        <f>S14</f>
        <v>4.8197375684742451E-2</v>
      </c>
      <c r="U14" s="26">
        <f>T14</f>
        <v>4.8197375684742451E-2</v>
      </c>
      <c r="V14" s="26">
        <f>U14</f>
        <v>4.8197375684742451E-2</v>
      </c>
      <c r="W14" s="26">
        <f>V14</f>
        <v>4.8197375684742451E-2</v>
      </c>
      <c r="X14" s="26">
        <f t="shared" si="16"/>
        <v>4.8197375684742451E-2</v>
      </c>
      <c r="Y14" s="26">
        <f t="shared" si="16"/>
        <v>4.8197375684742451E-2</v>
      </c>
      <c r="Z14" s="26">
        <f>Y14</f>
        <v>4.8197375684742451E-2</v>
      </c>
      <c r="AA14" s="26">
        <f>Z14</f>
        <v>4.8197375684742451E-2</v>
      </c>
      <c r="AB14" s="26">
        <f>AA14</f>
        <v>4.8197375684742451E-2</v>
      </c>
      <c r="AC14" s="52">
        <f>IF(AC26="Ορθόκλαστο",AB14,IF(AC26="Και τα δύο",AB7,0))</f>
        <v>4.8197375684742451E-2</v>
      </c>
      <c r="AD14" s="52">
        <f>AC14</f>
        <v>4.8197375684742451E-2</v>
      </c>
      <c r="AE14" s="52">
        <f>AD14</f>
        <v>4.8197375684742451E-2</v>
      </c>
      <c r="AF14" s="52">
        <f>AE14</f>
        <v>4.8197375684742451E-2</v>
      </c>
      <c r="AG14" s="52">
        <f t="shared" si="12"/>
        <v>4.8197375684742451E-2</v>
      </c>
      <c r="AH14" s="52">
        <f>AG14</f>
        <v>4.8197375684742451E-2</v>
      </c>
      <c r="AI14" s="52">
        <f>AH14</f>
        <v>4.8197375684742451E-2</v>
      </c>
      <c r="AJ14" s="52">
        <f>AI14</f>
        <v>4.8197375684742451E-2</v>
      </c>
      <c r="AK14" s="1" t="s">
        <v>103</v>
      </c>
      <c r="AL14" s="52">
        <f>AJ13</f>
        <v>1.6457213664650389E-2</v>
      </c>
      <c r="AM14" s="26"/>
      <c r="AN14" s="26"/>
      <c r="AO14" s="26"/>
      <c r="AP14" s="29">
        <f>IF(AP26="Αλβίτης",AL14,IF(AP26="Και τα δύο",AL14+(AO5/4),0))</f>
        <v>1.6457213664650389E-2</v>
      </c>
      <c r="AQ14" s="26"/>
      <c r="AR14" s="26"/>
      <c r="AS14" s="26"/>
      <c r="AT14" s="26"/>
      <c r="AU14" s="29">
        <f>AP14</f>
        <v>1.6457213664650389E-2</v>
      </c>
      <c r="AV14" s="1" t="s">
        <v>103</v>
      </c>
      <c r="AW14" s="1">
        <f>Q13+Q7+(Q5*6)</f>
        <v>524.44600000000003</v>
      </c>
      <c r="AX14" s="26">
        <f t="shared" si="3"/>
        <v>8.6309198775712375</v>
      </c>
      <c r="AY14" s="56">
        <v>2.62</v>
      </c>
      <c r="AZ14" s="26">
        <f t="shared" si="4"/>
        <v>3.294244228080625</v>
      </c>
      <c r="BA14" s="26">
        <f t="shared" si="5"/>
        <v>8.9201027791094116</v>
      </c>
      <c r="BB14" s="26">
        <f t="shared" si="6"/>
        <v>0.23370669281266662</v>
      </c>
    </row>
    <row r="15" spans="1:54" ht="12" x14ac:dyDescent="0.2">
      <c r="A15" s="35" t="s">
        <v>153</v>
      </c>
      <c r="B15" s="163">
        <v>4.4400000000000004</v>
      </c>
      <c r="C15" s="36" t="s">
        <v>26</v>
      </c>
      <c r="D15" s="10"/>
      <c r="E15" s="24"/>
      <c r="F15" s="24"/>
      <c r="G15" s="24"/>
      <c r="H15" s="40">
        <f t="shared" si="14"/>
        <v>4.54</v>
      </c>
      <c r="I15" s="24"/>
      <c r="J15" s="35" t="s">
        <v>78</v>
      </c>
      <c r="K15" s="41">
        <f>ROUND(AX16,2)</f>
        <v>0</v>
      </c>
      <c r="L15" s="41" t="b">
        <f t="shared" si="7"/>
        <v>1</v>
      </c>
      <c r="M15" s="42">
        <f>ROUND(BA16,2)</f>
        <v>0</v>
      </c>
      <c r="N15" s="23" t="b">
        <f t="shared" si="0"/>
        <v>1</v>
      </c>
      <c r="O15" s="24"/>
      <c r="P15" s="35" t="s">
        <v>154</v>
      </c>
      <c r="Q15" s="23">
        <v>141.94450000000001</v>
      </c>
      <c r="R15" s="26">
        <f t="shared" si="1"/>
        <v>1.409001405478902E-4</v>
      </c>
      <c r="S15" s="26">
        <f t="shared" ref="S15:S20" si="17">R15</f>
        <v>1.409001405478902E-4</v>
      </c>
      <c r="T15" s="29">
        <f>S15/1.5</f>
        <v>9.3933427031926798E-5</v>
      </c>
      <c r="U15" s="26"/>
      <c r="V15" s="26"/>
      <c r="W15" s="26"/>
      <c r="X15" s="26"/>
      <c r="Y15" s="26"/>
      <c r="Z15" s="26"/>
      <c r="AA15" s="26"/>
      <c r="AB15" s="26"/>
      <c r="AC15" s="29">
        <f>IF(AC26="K2SiO3",AB14,IF(AC26="Και τα δύο",AB14-AB7,0))</f>
        <v>0</v>
      </c>
      <c r="AD15" s="26"/>
      <c r="AE15" s="26"/>
      <c r="AF15" s="26"/>
      <c r="AG15" s="26"/>
      <c r="AH15" s="26"/>
      <c r="AI15" s="26"/>
      <c r="AJ15" s="26"/>
      <c r="AK15" s="1" t="s">
        <v>71</v>
      </c>
      <c r="AL15" s="52">
        <f>AJ14</f>
        <v>4.8197375684742451E-2</v>
      </c>
      <c r="AM15" s="26"/>
      <c r="AN15" s="26"/>
      <c r="AO15" s="26"/>
      <c r="AP15" s="26"/>
      <c r="AQ15" s="29">
        <f>IF(AQ26="Ορθόκλαστο",AL15,IF(AQ26="Και τα δύο",AL15+(AP5/2),0))</f>
        <v>4.8197375684742451E-2</v>
      </c>
      <c r="AR15" s="26"/>
      <c r="AS15" s="26"/>
      <c r="AT15" s="26"/>
      <c r="AU15" s="29">
        <f>AQ15</f>
        <v>4.8197375684742451E-2</v>
      </c>
      <c r="AV15" s="1" t="s">
        <v>71</v>
      </c>
      <c r="AW15" s="1">
        <f>Q14+Q7+(Q5*6)</f>
        <v>556.66309999999999</v>
      </c>
      <c r="AX15" s="26">
        <f t="shared" si="3"/>
        <v>26.829700560533354</v>
      </c>
      <c r="AY15" s="26">
        <v>2.56</v>
      </c>
      <c r="AZ15" s="26">
        <f t="shared" si="4"/>
        <v>10.48035178145834</v>
      </c>
      <c r="BA15" s="26">
        <f t="shared" si="5"/>
        <v>28.378531942150463</v>
      </c>
      <c r="BB15" s="26">
        <f t="shared" si="6"/>
        <v>0.72649041771905187</v>
      </c>
    </row>
    <row r="16" spans="1:54" ht="12" x14ac:dyDescent="0.2">
      <c r="A16" s="35" t="s">
        <v>154</v>
      </c>
      <c r="B16" s="163">
        <v>0.02</v>
      </c>
      <c r="C16" s="36" t="s">
        <v>26</v>
      </c>
      <c r="D16" s="10"/>
      <c r="E16" s="10"/>
      <c r="F16" s="24"/>
      <c r="G16" s="24"/>
      <c r="H16" s="40">
        <f t="shared" si="14"/>
        <v>0.02</v>
      </c>
      <c r="I16" s="24"/>
      <c r="J16" s="35" t="s">
        <v>79</v>
      </c>
      <c r="K16" s="41">
        <f>ROUND(AX17,2)</f>
        <v>0</v>
      </c>
      <c r="L16" s="41" t="b">
        <f t="shared" si="7"/>
        <v>1</v>
      </c>
      <c r="M16" s="42">
        <f>ROUND(BA17,2)</f>
        <v>0</v>
      </c>
      <c r="N16" s="23" t="b">
        <f t="shared" si="0"/>
        <v>1</v>
      </c>
      <c r="O16" s="24"/>
      <c r="P16" s="35" t="s">
        <v>155</v>
      </c>
      <c r="Q16" s="23">
        <v>44.009799999999998</v>
      </c>
      <c r="R16" s="26">
        <f t="shared" si="1"/>
        <v>0</v>
      </c>
      <c r="S16" s="26">
        <f t="shared" si="17"/>
        <v>0</v>
      </c>
      <c r="T16" s="26">
        <f t="shared" ref="T16:Z16" si="18">S16</f>
        <v>0</v>
      </c>
      <c r="U16" s="26">
        <f t="shared" si="18"/>
        <v>0</v>
      </c>
      <c r="V16" s="26">
        <f t="shared" si="18"/>
        <v>0</v>
      </c>
      <c r="W16" s="26">
        <f t="shared" si="18"/>
        <v>0</v>
      </c>
      <c r="X16" s="26">
        <f t="shared" si="18"/>
        <v>0</v>
      </c>
      <c r="Y16" s="26">
        <f t="shared" si="18"/>
        <v>0</v>
      </c>
      <c r="Z16" s="26">
        <f t="shared" si="18"/>
        <v>0</v>
      </c>
      <c r="AA16" s="29">
        <f>IF(AA26="Ασβεστίτης",Z16,IF(AA26="Και τα δύο",Z12,0))</f>
        <v>0</v>
      </c>
      <c r="AB16" s="26"/>
      <c r="AC16" s="26"/>
      <c r="AD16" s="26"/>
      <c r="AE16" s="26"/>
      <c r="AF16" s="26"/>
      <c r="AG16" s="26"/>
      <c r="AH16" s="26"/>
      <c r="AI16" s="26"/>
      <c r="AJ16" s="26"/>
      <c r="AK16" s="1" t="s">
        <v>78</v>
      </c>
      <c r="AL16" s="52">
        <f>AJ18</f>
        <v>0</v>
      </c>
      <c r="AM16" s="26"/>
      <c r="AN16" s="26"/>
      <c r="AO16" s="26"/>
      <c r="AP16" s="26"/>
      <c r="AQ16" s="26"/>
      <c r="AR16" s="29">
        <f>IF(AR26="Βολλαστονίτης",AL16,IF(AR26="Και τα δύο",AL16+(2*AQ5),0))</f>
        <v>0</v>
      </c>
      <c r="AS16" s="26"/>
      <c r="AT16" s="26"/>
      <c r="AU16" s="29">
        <f>AR16</f>
        <v>0</v>
      </c>
      <c r="AV16" s="1" t="s">
        <v>78</v>
      </c>
      <c r="AW16" s="1">
        <f>Q12+Q5</f>
        <v>116.16370000000001</v>
      </c>
      <c r="AX16" s="26">
        <f t="shared" si="3"/>
        <v>0</v>
      </c>
      <c r="AY16" s="26">
        <v>2.86</v>
      </c>
      <c r="AZ16" s="26">
        <f t="shared" si="4"/>
        <v>0</v>
      </c>
      <c r="BA16" s="26">
        <f t="shared" si="5"/>
        <v>0</v>
      </c>
      <c r="BB16" s="26">
        <f t="shared" si="6"/>
        <v>0</v>
      </c>
    </row>
    <row r="17" spans="1:54" ht="12" x14ac:dyDescent="0.2">
      <c r="A17" s="35" t="s">
        <v>155</v>
      </c>
      <c r="B17" s="57">
        <v>0</v>
      </c>
      <c r="C17" s="36" t="s">
        <v>26</v>
      </c>
      <c r="D17" s="10"/>
      <c r="E17" s="24"/>
      <c r="F17" s="24"/>
      <c r="G17" s="24"/>
      <c r="H17" s="40">
        <f t="shared" si="14"/>
        <v>0</v>
      </c>
      <c r="I17" s="24"/>
      <c r="J17" s="35" t="s">
        <v>80</v>
      </c>
      <c r="K17" s="41">
        <f>ROUND(AX21,2)</f>
        <v>0</v>
      </c>
      <c r="L17" s="41" t="b">
        <f t="shared" si="7"/>
        <v>1</v>
      </c>
      <c r="M17" s="42">
        <f>ROUND(BA21,2)</f>
        <v>0</v>
      </c>
      <c r="N17" s="23" t="b">
        <f t="shared" si="0"/>
        <v>1</v>
      </c>
      <c r="O17" s="24"/>
      <c r="P17" s="35" t="s">
        <v>156</v>
      </c>
      <c r="Q17" s="23">
        <v>80.058199999999999</v>
      </c>
      <c r="R17" s="26">
        <f t="shared" si="1"/>
        <v>0</v>
      </c>
      <c r="S17" s="26">
        <f t="shared" si="17"/>
        <v>0</v>
      </c>
      <c r="T17" s="26">
        <f t="shared" ref="T17:V18" si="19">S17</f>
        <v>0</v>
      </c>
      <c r="U17" s="26">
        <f t="shared" si="19"/>
        <v>0</v>
      </c>
      <c r="V17" s="26">
        <f t="shared" si="19"/>
        <v>0</v>
      </c>
      <c r="W17" s="29">
        <f>IF(W26="Ανυδρίτης",V17,IF(W26="Και τα δύο",V12,0))</f>
        <v>0</v>
      </c>
      <c r="X17" s="26"/>
      <c r="Y17" s="26"/>
      <c r="Z17" s="26"/>
      <c r="AA17" s="29">
        <f>IF(AA26="Na2CO3",Z16,IF(AA26="Και τα δύο",Z16-AA16,0))</f>
        <v>0</v>
      </c>
      <c r="AB17" s="26"/>
      <c r="AC17" s="26"/>
      <c r="AD17" s="26"/>
      <c r="AE17" s="26"/>
      <c r="AF17" s="26"/>
      <c r="AG17" s="26"/>
      <c r="AH17" s="26"/>
      <c r="AI17" s="26"/>
      <c r="AJ17" s="26"/>
      <c r="AK17" s="1" t="s">
        <v>79</v>
      </c>
      <c r="AL17" s="26"/>
      <c r="AM17" s="26"/>
      <c r="AN17" s="52">
        <f>IF(AN26="Ολιβίνης",AL13*0.5,IF(AN26="Και τα δύο",ABS(AL5),0))</f>
        <v>0</v>
      </c>
      <c r="AO17" s="26"/>
      <c r="AP17" s="26"/>
      <c r="AQ17" s="26"/>
      <c r="AR17" s="26"/>
      <c r="AS17" s="29">
        <f>(IF(AS26="ΛαρνίτηςΟλιβίνης",AL11/2,IF(AS26="Και τα δύο",(AL11-AS11)/2,0)))+AN17</f>
        <v>0</v>
      </c>
      <c r="AT17" s="26"/>
      <c r="AU17" s="29">
        <f>AS17</f>
        <v>0</v>
      </c>
      <c r="AV17" s="1" t="s">
        <v>79</v>
      </c>
      <c r="AW17" s="1">
        <f>(2*AI31)+Q5</f>
        <v>179.56617730779425</v>
      </c>
      <c r="AX17" s="26">
        <f t="shared" si="3"/>
        <v>0</v>
      </c>
      <c r="AY17" s="53">
        <f>(AI$30*3.22)+((1-AI$30)*4.39)</f>
        <v>3.9409672888548486</v>
      </c>
      <c r="AZ17" s="26">
        <f t="shared" si="4"/>
        <v>0</v>
      </c>
      <c r="BA17" s="26">
        <f t="shared" si="5"/>
        <v>0</v>
      </c>
      <c r="BB17" s="26">
        <f t="shared" si="6"/>
        <v>0</v>
      </c>
    </row>
    <row r="18" spans="1:54" ht="12" x14ac:dyDescent="0.2">
      <c r="A18" s="35" t="s">
        <v>156</v>
      </c>
      <c r="B18" s="58">
        <v>0</v>
      </c>
      <c r="C18" s="36" t="s">
        <v>26</v>
      </c>
      <c r="D18" s="10"/>
      <c r="E18" s="24"/>
      <c r="F18" s="24"/>
      <c r="G18" s="24"/>
      <c r="H18" s="40">
        <f t="shared" si="14"/>
        <v>0</v>
      </c>
      <c r="I18" s="24"/>
      <c r="J18" s="35" t="s">
        <v>81</v>
      </c>
      <c r="K18" s="41">
        <f>ROUND(AX10,2)</f>
        <v>0</v>
      </c>
      <c r="L18" s="41" t="b">
        <f t="shared" si="7"/>
        <v>1</v>
      </c>
      <c r="M18" s="42">
        <f>ROUND(BA10,2)</f>
        <v>0</v>
      </c>
      <c r="N18" s="23" t="b">
        <f t="shared" si="0"/>
        <v>1</v>
      </c>
      <c r="O18" s="24"/>
      <c r="P18" s="59" t="s">
        <v>33</v>
      </c>
      <c r="Q18" s="23">
        <v>32.06</v>
      </c>
      <c r="R18" s="26">
        <f t="shared" si="1"/>
        <v>0</v>
      </c>
      <c r="S18" s="26">
        <f t="shared" si="17"/>
        <v>0</v>
      </c>
      <c r="T18" s="26">
        <f t="shared" si="19"/>
        <v>0</v>
      </c>
      <c r="U18" s="26">
        <f t="shared" si="19"/>
        <v>0</v>
      </c>
      <c r="V18" s="26">
        <f t="shared" si="19"/>
        <v>0</v>
      </c>
      <c r="W18" s="26">
        <f>V18</f>
        <v>0</v>
      </c>
      <c r="X18" s="29">
        <f>W18*0.5</f>
        <v>0</v>
      </c>
      <c r="Y18" s="26"/>
      <c r="Z18" s="26"/>
      <c r="AA18" s="26"/>
      <c r="AB18" s="26"/>
      <c r="AC18" s="26"/>
      <c r="AD18" s="26"/>
      <c r="AE18" s="26"/>
      <c r="AF18" s="29">
        <f>IF(AF26="Ρουτίλιο",AE10,IF(AF26="Και τα δύο",AE10-AE12,0))</f>
        <v>0</v>
      </c>
      <c r="AG18" s="26"/>
      <c r="AH18" s="26"/>
      <c r="AI18" s="26"/>
      <c r="AJ18" s="52">
        <f>IF(AJ26="Βολλαστονίτης",AI12,IF(AJ26="Και τα δύο",AI12-AI9,0))</f>
        <v>0</v>
      </c>
      <c r="AK18" s="1" t="s">
        <v>88</v>
      </c>
      <c r="AL18" s="26"/>
      <c r="AM18" s="26"/>
      <c r="AN18" s="26"/>
      <c r="AO18" s="29">
        <f>IF(AO26="Περοβσκίτης",AL12,IF(AO26="Και τα δύο",AL12-AO12,0))</f>
        <v>0</v>
      </c>
      <c r="AP18" s="26"/>
      <c r="AQ18" s="26"/>
      <c r="AR18" s="26"/>
      <c r="AS18" s="26"/>
      <c r="AT18" s="26"/>
      <c r="AU18" s="29">
        <f>AO18</f>
        <v>0</v>
      </c>
      <c r="AV18" s="1" t="s">
        <v>88</v>
      </c>
      <c r="AW18" s="1">
        <f>Q12+Q6</f>
        <v>135.97819999999999</v>
      </c>
      <c r="AX18" s="26">
        <f t="shared" si="3"/>
        <v>0</v>
      </c>
      <c r="AY18" s="26">
        <v>4</v>
      </c>
      <c r="AZ18" s="26">
        <f t="shared" si="4"/>
        <v>0</v>
      </c>
      <c r="BA18" s="26">
        <f t="shared" si="5"/>
        <v>0</v>
      </c>
      <c r="BB18" s="26">
        <f t="shared" si="6"/>
        <v>0</v>
      </c>
    </row>
    <row r="19" spans="1:54" x14ac:dyDescent="0.15">
      <c r="A19" s="35" t="s">
        <v>33</v>
      </c>
      <c r="B19" s="57"/>
      <c r="C19" s="36" t="s">
        <v>26</v>
      </c>
      <c r="D19" s="10"/>
      <c r="E19" s="24"/>
      <c r="F19" s="24"/>
      <c r="G19" s="24"/>
      <c r="H19" s="40">
        <f t="shared" si="14"/>
        <v>0</v>
      </c>
      <c r="I19" s="24"/>
      <c r="J19" s="35" t="s">
        <v>27</v>
      </c>
      <c r="K19" s="41">
        <f>ROUND(AX7,2)</f>
        <v>0</v>
      </c>
      <c r="L19" s="41" t="b">
        <f t="shared" si="7"/>
        <v>1</v>
      </c>
      <c r="M19" s="42">
        <f>ROUND(BA7,2)</f>
        <v>0</v>
      </c>
      <c r="N19" s="23" t="b">
        <f t="shared" si="0"/>
        <v>1</v>
      </c>
      <c r="O19" s="24"/>
      <c r="P19" s="59" t="s">
        <v>34</v>
      </c>
      <c r="Q19" s="23">
        <v>18.9984</v>
      </c>
      <c r="R19" s="26">
        <f t="shared" si="1"/>
        <v>0</v>
      </c>
      <c r="S19" s="26">
        <f t="shared" si="17"/>
        <v>0</v>
      </c>
      <c r="T19" s="27">
        <f>IF(S19&gt;=T15,S19-T15,0)</f>
        <v>0</v>
      </c>
      <c r="U19" s="26">
        <f>T19</f>
        <v>0</v>
      </c>
      <c r="V19" s="29">
        <f>U19/2</f>
        <v>0</v>
      </c>
      <c r="W19" s="26"/>
      <c r="X19" s="26"/>
      <c r="Y19" s="26"/>
      <c r="Z19" s="26"/>
      <c r="AA19" s="26"/>
      <c r="AB19" s="26"/>
      <c r="AC19" s="26"/>
      <c r="AD19" s="26"/>
      <c r="AE19" s="26"/>
      <c r="AF19" s="26"/>
      <c r="AG19" s="29">
        <f>IF(AG26="Ακμίτης",AF20,IF(AG26="Και τα δύο",AF8,0))</f>
        <v>0</v>
      </c>
      <c r="AH19" s="26"/>
      <c r="AI19" s="26"/>
      <c r="AJ19" s="26"/>
      <c r="AK19" s="1" t="s">
        <v>72</v>
      </c>
      <c r="AL19" s="26"/>
      <c r="AM19" s="26"/>
      <c r="AN19" s="26"/>
      <c r="AO19" s="26"/>
      <c r="AP19" s="29">
        <f>IF(AP26="Νεφελίνης",AL14,IF(AP26="Και τα δύο",AL14-AP14,0))</f>
        <v>0</v>
      </c>
      <c r="AQ19" s="26"/>
      <c r="AR19" s="26"/>
      <c r="AS19" s="26"/>
      <c r="AT19" s="26"/>
      <c r="AU19" s="29">
        <f>AP19</f>
        <v>0</v>
      </c>
      <c r="AV19" s="1" t="s">
        <v>72</v>
      </c>
      <c r="AW19" s="1">
        <f>Q13+Q7+(Q5*2)</f>
        <v>284.10879999999997</v>
      </c>
      <c r="AX19" s="26">
        <f t="shared" si="3"/>
        <v>0</v>
      </c>
      <c r="AY19" s="26">
        <v>2.56</v>
      </c>
      <c r="AZ19" s="26">
        <f t="shared" si="4"/>
        <v>0</v>
      </c>
      <c r="BA19" s="26">
        <f t="shared" si="5"/>
        <v>0</v>
      </c>
      <c r="BB19" s="26">
        <f t="shared" si="6"/>
        <v>0</v>
      </c>
    </row>
    <row r="20" spans="1:54" x14ac:dyDescent="0.15">
      <c r="A20" s="35" t="s">
        <v>34</v>
      </c>
      <c r="B20" s="57">
        <v>0</v>
      </c>
      <c r="C20" s="36" t="s">
        <v>26</v>
      </c>
      <c r="D20" s="10"/>
      <c r="E20" s="60" t="s">
        <v>107</v>
      </c>
      <c r="F20" s="61"/>
      <c r="G20" s="62"/>
      <c r="H20" s="40">
        <f t="shared" si="14"/>
        <v>0</v>
      </c>
      <c r="I20" s="24"/>
      <c r="J20" s="35" t="s">
        <v>29</v>
      </c>
      <c r="K20" s="41">
        <f>ROUND(AX9,2)</f>
        <v>0</v>
      </c>
      <c r="L20" s="41" t="b">
        <f t="shared" si="7"/>
        <v>1</v>
      </c>
      <c r="M20" s="42">
        <f>ROUND(BA9,2)</f>
        <v>0</v>
      </c>
      <c r="N20" s="23" t="b">
        <f t="shared" si="0"/>
        <v>1</v>
      </c>
      <c r="O20" s="24"/>
      <c r="P20" s="59" t="s">
        <v>35</v>
      </c>
      <c r="Q20" s="23">
        <v>35.453000000000003</v>
      </c>
      <c r="R20" s="26">
        <f t="shared" si="1"/>
        <v>0</v>
      </c>
      <c r="S20" s="26">
        <f t="shared" si="17"/>
        <v>0</v>
      </c>
      <c r="T20" s="26">
        <f>S20</f>
        <v>0</v>
      </c>
      <c r="U20" s="29">
        <f>T20</f>
        <v>0</v>
      </c>
      <c r="V20" s="26"/>
      <c r="W20" s="26"/>
      <c r="X20" s="26"/>
      <c r="Y20" s="26"/>
      <c r="Z20" s="26"/>
      <c r="AA20" s="26"/>
      <c r="AB20" s="26"/>
      <c r="AC20" s="26"/>
      <c r="AD20" s="52">
        <f>IF(AD26="Na2SiO3",AC13,IF(AD26="Και τα δύο",AC13-AD13,0))</f>
        <v>0</v>
      </c>
      <c r="AE20" s="52">
        <f>AD20</f>
        <v>0</v>
      </c>
      <c r="AF20" s="52">
        <f>AE20</f>
        <v>0</v>
      </c>
      <c r="AG20" s="29">
        <f>IF(AG26="Na2SiO3",AF20,IF(AG26="Και τα δύο",AF20-AG19,0))</f>
        <v>0</v>
      </c>
      <c r="AH20" s="26"/>
      <c r="AI20" s="26"/>
      <c r="AJ20" s="26"/>
      <c r="AK20" s="1" t="s">
        <v>73</v>
      </c>
      <c r="AL20" s="26"/>
      <c r="AM20" s="26"/>
      <c r="AN20" s="26"/>
      <c r="AO20" s="26"/>
      <c r="AP20" s="26"/>
      <c r="AQ20" s="52">
        <f>IF(AQ26="Λευκίτης",AL15,IF(AQ26="Και τα δύο",AL15-AQ15,0))</f>
        <v>0</v>
      </c>
      <c r="AR20" s="26"/>
      <c r="AS20" s="26"/>
      <c r="AT20" s="29">
        <f>IF(AT26="Λευκίτης",AQ20,IF(AT26="Και τα δύο",AQ20+(AS5/2),0))</f>
        <v>0</v>
      </c>
      <c r="AU20" s="29">
        <f>AT20</f>
        <v>0</v>
      </c>
      <c r="AV20" s="1" t="s">
        <v>73</v>
      </c>
      <c r="AW20" s="1">
        <f>Q14+Q7+(Q5*4)</f>
        <v>436.49450000000002</v>
      </c>
      <c r="AX20" s="26">
        <f t="shared" si="3"/>
        <v>0</v>
      </c>
      <c r="AY20" s="26">
        <v>2.4900000000000002</v>
      </c>
      <c r="AZ20" s="26">
        <f t="shared" si="4"/>
        <v>0</v>
      </c>
      <c r="BA20" s="26">
        <f t="shared" si="5"/>
        <v>0</v>
      </c>
      <c r="BB20" s="26">
        <f t="shared" si="6"/>
        <v>0</v>
      </c>
    </row>
    <row r="21" spans="1:54" x14ac:dyDescent="0.15">
      <c r="A21" s="35" t="s">
        <v>35</v>
      </c>
      <c r="B21" s="57">
        <v>0</v>
      </c>
      <c r="C21" s="36" t="s">
        <v>26</v>
      </c>
      <c r="D21" s="10"/>
      <c r="E21" s="63" t="str">
        <f>IF(OR(ABS(H27-K37)&gt;0.2,ABS(100-M37)&gt;0.1,AND(L37,F7&gt;=0,F7&lt;=1)),"","Η norm φαίνεται OK")</f>
        <v>Η norm φαίνεται OK</v>
      </c>
      <c r="F21" s="64"/>
      <c r="G21" s="62"/>
      <c r="H21" s="40">
        <f t="shared" si="14"/>
        <v>0</v>
      </c>
      <c r="I21" s="24"/>
      <c r="J21" s="35" t="s">
        <v>82</v>
      </c>
      <c r="K21" s="41">
        <f>ROUND(AX35,2)</f>
        <v>0</v>
      </c>
      <c r="L21" s="41" t="b">
        <f t="shared" si="7"/>
        <v>1</v>
      </c>
      <c r="M21" s="42">
        <f>ROUND(BA35,2)</f>
        <v>0</v>
      </c>
      <c r="N21" s="23" t="b">
        <f t="shared" si="0"/>
        <v>1</v>
      </c>
      <c r="O21" s="24"/>
      <c r="P21" s="59" t="s">
        <v>36</v>
      </c>
      <c r="Q21" s="23">
        <v>103.6194</v>
      </c>
      <c r="R21" s="26">
        <f t="shared" si="1"/>
        <v>0</v>
      </c>
      <c r="S21" s="26"/>
      <c r="T21" s="26"/>
      <c r="U21" s="26"/>
      <c r="V21" s="26"/>
      <c r="W21" s="29">
        <f>IF(W26="Θεναρδίτης",V17,IF(W26="Και τα δύο",V17-W17,0))</f>
        <v>0</v>
      </c>
      <c r="X21" s="26"/>
      <c r="Y21" s="26"/>
      <c r="Z21" s="26"/>
      <c r="AA21" s="26"/>
      <c r="AB21" s="26"/>
      <c r="AC21" s="26"/>
      <c r="AD21" s="26"/>
      <c r="AE21" s="29">
        <f>IF(AE26="Ανορθίτης",IF(AD7&gt;AD12,AD12,AD7),0)</f>
        <v>9.569286177391836E-4</v>
      </c>
      <c r="AF21" s="26"/>
      <c r="AG21" s="26"/>
      <c r="AH21" s="26"/>
      <c r="AI21" s="26"/>
      <c r="AJ21" s="26"/>
      <c r="AK21" s="1" t="s">
        <v>80</v>
      </c>
      <c r="AL21" s="26"/>
      <c r="AM21" s="26"/>
      <c r="AN21" s="26"/>
      <c r="AO21" s="26"/>
      <c r="AP21" s="26"/>
      <c r="AQ21" s="26"/>
      <c r="AR21" s="52">
        <f>IF(AR26="Λαρνίτης",AL16/2,IF(AR26="Και τα δύο",(AL16-AR16)/2,0))</f>
        <v>0</v>
      </c>
      <c r="AS21" s="29">
        <f>(IF(AS26="ΛαρνίτηςΟλιβίνης",AL11/2,IF(AS26="Και τα δύο",(AL11-AS11)/2,0)))+AR21</f>
        <v>0</v>
      </c>
      <c r="AT21" s="26"/>
      <c r="AU21" s="29">
        <f>AS21</f>
        <v>0</v>
      </c>
      <c r="AV21" s="1" t="s">
        <v>80</v>
      </c>
      <c r="AW21" s="1">
        <f>(Q12*2)+Q5</f>
        <v>172.2431</v>
      </c>
      <c r="AX21" s="26">
        <f t="shared" si="3"/>
        <v>0</v>
      </c>
      <c r="AY21" s="26">
        <v>3.27</v>
      </c>
      <c r="AZ21" s="26">
        <f t="shared" si="4"/>
        <v>0</v>
      </c>
      <c r="BA21" s="26">
        <f t="shared" si="5"/>
        <v>0</v>
      </c>
      <c r="BB21" s="26">
        <f t="shared" si="6"/>
        <v>0</v>
      </c>
    </row>
    <row r="22" spans="1:54" x14ac:dyDescent="0.15">
      <c r="A22" s="35" t="s">
        <v>36</v>
      </c>
      <c r="B22" s="65">
        <v>0</v>
      </c>
      <c r="C22" s="36" t="s">
        <v>37</v>
      </c>
      <c r="D22" s="10"/>
      <c r="E22" s="66" t="str">
        <f>IF(OR(ABS(H27-K37)&gt;0.2,ABS(100-M37)&gt;0.1,AND(L37,F7&gt;=0,F7&lt;=1)),"Προσοχή! Ίσως υπάρχει πρόβλημα","")</f>
        <v/>
      </c>
      <c r="F22" s="67"/>
      <c r="G22" s="62"/>
      <c r="H22" s="40">
        <f>ROUND((B22/10000)*1.183,2)</f>
        <v>0</v>
      </c>
      <c r="I22" s="24"/>
      <c r="J22" s="35" t="s">
        <v>83</v>
      </c>
      <c r="K22" s="41">
        <f>ROUND(AX31,2)</f>
        <v>0.28000000000000003</v>
      </c>
      <c r="L22" s="41" t="b">
        <f t="shared" si="7"/>
        <v>1</v>
      </c>
      <c r="M22" s="42">
        <f>ROUND(BA31,2)</f>
        <v>0.16</v>
      </c>
      <c r="N22" s="23" t="b">
        <f t="shared" si="0"/>
        <v>1</v>
      </c>
      <c r="O22" s="24"/>
      <c r="P22" s="59" t="s">
        <v>38</v>
      </c>
      <c r="Q22" s="23">
        <v>153.32939999999999</v>
      </c>
      <c r="R22" s="26">
        <f t="shared" si="1"/>
        <v>0</v>
      </c>
      <c r="S22" s="26"/>
      <c r="T22" s="26"/>
      <c r="U22" s="26"/>
      <c r="V22" s="26"/>
      <c r="W22" s="26"/>
      <c r="X22" s="26"/>
      <c r="Y22" s="26"/>
      <c r="Z22" s="26"/>
      <c r="AA22" s="26"/>
      <c r="AB22" s="26"/>
      <c r="AC22" s="26"/>
      <c r="AD22" s="26"/>
      <c r="AE22" s="26"/>
      <c r="AF22" s="26"/>
      <c r="AG22" s="26"/>
      <c r="AH22" s="29">
        <f>IF(AH26="Αιματίτης",AG8,IF(AH26="Και τα δύο",AG8-AG9,0))</f>
        <v>0</v>
      </c>
      <c r="AI22" s="26"/>
      <c r="AJ22" s="26"/>
      <c r="AK22" s="1" t="s">
        <v>74</v>
      </c>
      <c r="AL22" s="26"/>
      <c r="AM22" s="26"/>
      <c r="AN22" s="26"/>
      <c r="AO22" s="26"/>
      <c r="AP22" s="26"/>
      <c r="AQ22" s="26"/>
      <c r="AR22" s="26"/>
      <c r="AS22" s="26"/>
      <c r="AT22" s="29">
        <f>IF(AT26="Καλσιλίτης",AQ20,IF(AT26="Και τα δύο",AQ20-AT20,0))</f>
        <v>0</v>
      </c>
      <c r="AU22" s="29">
        <f>AT22</f>
        <v>0</v>
      </c>
      <c r="AV22" s="1" t="s">
        <v>74</v>
      </c>
      <c r="AW22" s="1">
        <f>Q14+Q7+(Q5*2)</f>
        <v>316.32589999999999</v>
      </c>
      <c r="AX22" s="26">
        <f t="shared" si="3"/>
        <v>0</v>
      </c>
      <c r="AY22" s="26">
        <v>6.2</v>
      </c>
      <c r="AZ22" s="26">
        <f t="shared" si="4"/>
        <v>0</v>
      </c>
      <c r="BA22" s="26">
        <f t="shared" si="5"/>
        <v>0</v>
      </c>
      <c r="BB22" s="26">
        <f t="shared" si="6"/>
        <v>0</v>
      </c>
    </row>
    <row r="23" spans="1:54" x14ac:dyDescent="0.15">
      <c r="A23" s="35" t="s">
        <v>38</v>
      </c>
      <c r="B23" s="65">
        <v>0</v>
      </c>
      <c r="C23" s="36" t="s">
        <v>37</v>
      </c>
      <c r="D23" s="10"/>
      <c r="E23" s="24"/>
      <c r="F23" s="24"/>
      <c r="G23" s="24"/>
      <c r="H23" s="40">
        <f>ROUND((B23/10000)*1.117,2)</f>
        <v>0</v>
      </c>
      <c r="I23" s="24"/>
      <c r="J23" s="35" t="s">
        <v>84</v>
      </c>
      <c r="K23" s="41">
        <f>ROUND(AX36,2)</f>
        <v>1.59</v>
      </c>
      <c r="L23" s="41" t="b">
        <f t="shared" si="7"/>
        <v>1</v>
      </c>
      <c r="M23" s="42">
        <f>ROUND(BA36,2)</f>
        <v>0.83</v>
      </c>
      <c r="N23" s="23" t="b">
        <f t="shared" si="0"/>
        <v>1</v>
      </c>
      <c r="O23" s="24"/>
      <c r="P23" s="59" t="s">
        <v>39</v>
      </c>
      <c r="Q23" s="23">
        <v>74.699399999999997</v>
      </c>
      <c r="R23" s="26">
        <f t="shared" si="1"/>
        <v>0</v>
      </c>
      <c r="S23" s="26"/>
      <c r="T23" s="26"/>
      <c r="U23" s="26"/>
      <c r="V23" s="26"/>
      <c r="W23" s="26"/>
      <c r="X23" s="26"/>
      <c r="Y23" s="29">
        <f>IF(Y26="Μαγνησιοχρωμίτης",X24,IF(Y26="Και τα δύο",X24-Y24,0))</f>
        <v>0</v>
      </c>
      <c r="Z23" s="26"/>
      <c r="AA23" s="26"/>
      <c r="AB23" s="26"/>
      <c r="AC23" s="26"/>
      <c r="AD23" s="26"/>
      <c r="AE23" s="26"/>
      <c r="AF23" s="26"/>
      <c r="AG23" s="26"/>
      <c r="AH23" s="26"/>
      <c r="AI23" s="26"/>
      <c r="AJ23" s="26"/>
      <c r="AL23" s="26"/>
      <c r="AM23" s="26"/>
      <c r="AN23" s="26"/>
      <c r="AO23" s="26"/>
      <c r="AP23" s="26"/>
      <c r="AQ23" s="26"/>
      <c r="AR23" s="26"/>
      <c r="AS23" s="26"/>
      <c r="AT23" s="26"/>
      <c r="AU23" s="29">
        <f>T15</f>
        <v>9.3933427031926798E-5</v>
      </c>
      <c r="AV23" s="1" t="s">
        <v>86</v>
      </c>
      <c r="AW23" s="1">
        <f>T29</f>
        <v>493.31380000000001</v>
      </c>
      <c r="AX23" s="26">
        <f t="shared" si="3"/>
        <v>4.633865583614253E-2</v>
      </c>
      <c r="AY23" s="26">
        <v>3.2</v>
      </c>
      <c r="AZ23" s="26">
        <f t="shared" si="4"/>
        <v>1.448082994879454E-2</v>
      </c>
      <c r="BA23" s="26">
        <f t="shared" si="5"/>
        <v>3.9210963889375477E-2</v>
      </c>
      <c r="BB23" s="26">
        <f t="shared" si="6"/>
        <v>1.2547508444600154E-3</v>
      </c>
    </row>
    <row r="24" spans="1:54" x14ac:dyDescent="0.15">
      <c r="A24" s="35" t="s">
        <v>39</v>
      </c>
      <c r="B24" s="65">
        <v>0</v>
      </c>
      <c r="C24" s="36" t="s">
        <v>37</v>
      </c>
      <c r="D24" s="10"/>
      <c r="E24" s="24"/>
      <c r="F24" s="24"/>
      <c r="G24" s="24"/>
      <c r="H24" s="40">
        <f>ROUND((B24/10000)*1.273,2)</f>
        <v>0</v>
      </c>
      <c r="I24" s="24"/>
      <c r="J24" s="35" t="s">
        <v>85</v>
      </c>
      <c r="K24" s="41">
        <f>ROUND(AX37,2)</f>
        <v>0</v>
      </c>
      <c r="L24" s="41" t="b">
        <f t="shared" si="7"/>
        <v>1</v>
      </c>
      <c r="M24" s="42">
        <f>ROUND(BA37,2)</f>
        <v>0</v>
      </c>
      <c r="N24" s="23" t="b">
        <f t="shared" si="0"/>
        <v>1</v>
      </c>
      <c r="O24" s="24"/>
      <c r="P24" s="59" t="s">
        <v>40</v>
      </c>
      <c r="Q24" s="23">
        <v>151.99019999999999</v>
      </c>
      <c r="R24" s="26">
        <f t="shared" si="1"/>
        <v>0</v>
      </c>
      <c r="S24" s="26">
        <f t="shared" ref="S24:X25" si="20">R24</f>
        <v>0</v>
      </c>
      <c r="T24" s="26">
        <f t="shared" si="20"/>
        <v>0</v>
      </c>
      <c r="U24" s="26">
        <f t="shared" si="20"/>
        <v>0</v>
      </c>
      <c r="V24" s="26">
        <f t="shared" si="20"/>
        <v>0</v>
      </c>
      <c r="W24" s="26">
        <f t="shared" si="20"/>
        <v>0</v>
      </c>
      <c r="X24" s="26">
        <f t="shared" si="20"/>
        <v>0</v>
      </c>
      <c r="Y24" s="29">
        <f>IF(Y26="Χρωμίτης",X24,IF(Y26="Και τα δύο",X9,0))</f>
        <v>0</v>
      </c>
      <c r="Z24" s="26"/>
      <c r="AA24" s="26"/>
      <c r="AB24" s="26"/>
      <c r="AC24" s="26"/>
      <c r="AD24" s="26"/>
      <c r="AE24" s="26"/>
      <c r="AF24" s="26"/>
      <c r="AG24" s="26"/>
      <c r="AH24" s="26"/>
      <c r="AI24" s="26"/>
      <c r="AJ24" s="26"/>
      <c r="AL24" s="26"/>
      <c r="AM24" s="26"/>
      <c r="AN24" s="26"/>
      <c r="AO24" s="26"/>
      <c r="AP24" s="26"/>
      <c r="AQ24" s="26"/>
      <c r="AR24" s="26"/>
      <c r="AS24" s="26"/>
      <c r="AT24" s="26"/>
      <c r="AU24" s="29">
        <f>U20</f>
        <v>0</v>
      </c>
      <c r="AV24" s="1" t="s">
        <v>92</v>
      </c>
      <c r="AW24" s="1">
        <f>(Q13+(Q20*2))/2</f>
        <v>66.442450000000008</v>
      </c>
      <c r="AX24" s="26">
        <f t="shared" si="3"/>
        <v>0</v>
      </c>
      <c r="AY24" s="26">
        <v>2.17</v>
      </c>
      <c r="AZ24" s="26">
        <f t="shared" si="4"/>
        <v>0</v>
      </c>
      <c r="BA24" s="26">
        <f t="shared" si="5"/>
        <v>0</v>
      </c>
      <c r="BB24" s="26">
        <f t="shared" si="6"/>
        <v>0</v>
      </c>
    </row>
    <row r="25" spans="1:54" x14ac:dyDescent="0.15">
      <c r="A25" s="35" t="s">
        <v>40</v>
      </c>
      <c r="B25" s="65">
        <v>0</v>
      </c>
      <c r="C25" s="36" t="s">
        <v>37</v>
      </c>
      <c r="D25" s="10"/>
      <c r="E25" s="24"/>
      <c r="F25" s="24"/>
      <c r="G25" s="24"/>
      <c r="H25" s="40">
        <f>ROUND((B25/10000)*1.462,2)</f>
        <v>0</v>
      </c>
      <c r="I25" s="24"/>
      <c r="J25" s="35" t="s">
        <v>86</v>
      </c>
      <c r="K25" s="41">
        <f>ROUND(AX23,2)</f>
        <v>0.05</v>
      </c>
      <c r="L25" s="41" t="b">
        <f t="shared" si="7"/>
        <v>1</v>
      </c>
      <c r="M25" s="42">
        <f>ROUND(BA23,2)</f>
        <v>0.04</v>
      </c>
      <c r="N25" s="23" t="b">
        <f t="shared" si="0"/>
        <v>1</v>
      </c>
      <c r="O25" s="24"/>
      <c r="P25" s="68" t="s">
        <v>41</v>
      </c>
      <c r="Q25" s="69">
        <v>123.2188</v>
      </c>
      <c r="R25" s="70">
        <f t="shared" si="1"/>
        <v>0</v>
      </c>
      <c r="S25" s="70">
        <f t="shared" si="20"/>
        <v>0</v>
      </c>
      <c r="T25" s="70">
        <f t="shared" si="20"/>
        <v>0</v>
      </c>
      <c r="U25" s="70">
        <f t="shared" si="20"/>
        <v>0</v>
      </c>
      <c r="V25" s="70">
        <f t="shared" si="20"/>
        <v>0</v>
      </c>
      <c r="W25" s="70">
        <f t="shared" si="20"/>
        <v>0</v>
      </c>
      <c r="X25" s="70">
        <f t="shared" si="20"/>
        <v>0</v>
      </c>
      <c r="Y25" s="70">
        <f>X25</f>
        <v>0</v>
      </c>
      <c r="Z25" s="70">
        <f>Y25</f>
        <v>0</v>
      </c>
      <c r="AA25" s="70">
        <f>Z25</f>
        <v>0</v>
      </c>
      <c r="AB25" s="71">
        <f>AA25</f>
        <v>0</v>
      </c>
      <c r="AC25" s="70"/>
      <c r="AD25" s="70"/>
      <c r="AE25" s="70"/>
      <c r="AF25" s="70"/>
      <c r="AG25" s="70"/>
      <c r="AH25" s="70"/>
      <c r="AI25" s="70"/>
      <c r="AJ25" s="70"/>
      <c r="AK25" s="7"/>
      <c r="AL25" s="70"/>
      <c r="AM25" s="70"/>
      <c r="AN25" s="70"/>
      <c r="AO25" s="70"/>
      <c r="AP25" s="70"/>
      <c r="AQ25" s="70"/>
      <c r="AR25" s="70"/>
      <c r="AS25" s="70"/>
      <c r="AT25" s="70"/>
      <c r="AU25" s="29">
        <f>V19</f>
        <v>0</v>
      </c>
      <c r="AV25" s="1" t="s">
        <v>93</v>
      </c>
      <c r="AW25" s="1">
        <f>Q12+(Q19*2)</f>
        <v>94.0762</v>
      </c>
      <c r="AX25" s="26">
        <f t="shared" si="3"/>
        <v>0</v>
      </c>
      <c r="AY25" s="26">
        <v>3.18</v>
      </c>
      <c r="AZ25" s="26">
        <f t="shared" si="4"/>
        <v>0</v>
      </c>
      <c r="BA25" s="26">
        <f t="shared" si="5"/>
        <v>0</v>
      </c>
      <c r="BB25" s="26">
        <f t="shared" si="6"/>
        <v>0</v>
      </c>
    </row>
    <row r="26" spans="1:54" x14ac:dyDescent="0.15">
      <c r="A26" s="37" t="s">
        <v>41</v>
      </c>
      <c r="B26" s="72">
        <v>0</v>
      </c>
      <c r="C26" s="73" t="s">
        <v>37</v>
      </c>
      <c r="D26" s="10"/>
      <c r="E26" s="10"/>
      <c r="F26" s="24"/>
      <c r="G26" s="24"/>
      <c r="H26" s="74">
        <f>ROUND((B26/10000)*1.351,2)</f>
        <v>0</v>
      </c>
      <c r="I26" s="24"/>
      <c r="J26" s="35" t="s">
        <v>87</v>
      </c>
      <c r="K26" s="41">
        <f>ROUND(AX6,2)</f>
        <v>0</v>
      </c>
      <c r="L26" s="41" t="b">
        <f t="shared" si="7"/>
        <v>1</v>
      </c>
      <c r="M26" s="42">
        <f>ROUND(BA6,2)</f>
        <v>0</v>
      </c>
      <c r="N26" s="23" t="b">
        <f t="shared" si="0"/>
        <v>1</v>
      </c>
      <c r="O26" s="24"/>
      <c r="P26" s="75"/>
      <c r="Q26" s="1" t="s">
        <v>117</v>
      </c>
      <c r="T26" s="1" t="s">
        <v>86</v>
      </c>
      <c r="U26" s="1" t="s">
        <v>92</v>
      </c>
      <c r="V26" s="1" t="s">
        <v>93</v>
      </c>
      <c r="W26" s="1" t="str">
        <f>IF(V17&gt;0,IF(V13&gt;=V17,"Θεναρδίτης",IF(V13&gt;0,"Και τα δύο","Ανυδρίτης")),"Τίποτα")</f>
        <v>Τίποτα</v>
      </c>
      <c r="Y26" s="1" t="str">
        <f>IF(X24&gt;0,IF(X9&gt;=X24,"Χρωμίτης",IF(X9&gt;0,"Και τα δύο","Μαγνησιοχρωμίτης")),"Τίποτα")</f>
        <v>Τίποτα</v>
      </c>
      <c r="Z26" s="1" t="str">
        <f>IF(Y6&gt;0,IF(Y9&gt;=Y6,"Ιλμενίτης",IF(Y9&gt;0,"Και τα δύο","Τιτανίτης")),"Τίποτα")</f>
        <v>Ιλμενίτης</v>
      </c>
      <c r="AA26" s="1" t="str">
        <f>IF(Z16&gt;0,IF(Z12&gt;=Z16,"Ασβεστίτης",IF(Z12&gt;0,"Και τα δύο","Na2CO3")),"Τίποτα")</f>
        <v>Τίποτα</v>
      </c>
      <c r="AC26" s="1" t="str">
        <f>IF(AB14&gt;0,IF(AB7&gt;=AB14,"Ορθόκλαστο",IF(AB7&gt;0,"Και τα δύο","K2SiO3")),"Τίποτα")</f>
        <v>Ορθόκλαστο</v>
      </c>
      <c r="AD26" s="1" t="str">
        <f>IF(AC13&gt;0,IF(AC7&gt;=AC13,"Αλβίτης",IF(AC7&gt;0,"Και τα δύο","Na2SiO3")),"Τίποτα")</f>
        <v>Αλβίτης</v>
      </c>
      <c r="AE26" s="1" t="str">
        <f>IF(AD7&gt;0,IF(AD12&gt;0,"Ανορθίτης","Τίποτα"),"Τίποτα")</f>
        <v>Ανορθίτης</v>
      </c>
      <c r="AF26" s="1" t="str">
        <f>IF(AE10&gt;0,IF(AE12&gt;=AE10,"Τιτανίτης",IF(AE12&gt;0,"Και τα δύο","Ρουτίλιο")),"Τίποτα")</f>
        <v>Τίποτα</v>
      </c>
      <c r="AG26" s="1" t="str">
        <f>IF(AND(AF20&gt;0),IF(AF8&gt;=AF20,"Ακμίτης",IF(AF8&gt;0,"Και τα δύο","Na2SiO3")),"Τίποτα")</f>
        <v>Τίποτα</v>
      </c>
      <c r="AH26" s="1" t="str">
        <f>IF(AG8&gt;0,IF(AG9&gt;=AG8,"Μαγνητίτης",IF(AG9&gt;0,"Και τα δύο","Αιματίτης")),"Τίποτα")</f>
        <v>Μαγνητίτης</v>
      </c>
      <c r="AJ26" s="1" t="str">
        <f>IF(AI12&gt;0,IF(AI9&gt;=AI12,"Διοψίδιος",IF(AI9&gt;0,"Και τα δύο","Βολλαστονίτης")),"Τίποτα")</f>
        <v>Τίποτα</v>
      </c>
      <c r="AL26" s="26"/>
      <c r="AM26" s="26"/>
      <c r="AN26" s="26" t="str">
        <f>IF(AL13&gt;0,IF(AL5&gt;=0,"Υπερσθενής",IF(AL13+(2*AL5)&gt;0,"Και τα δύο","Ολιβίνης")),"Τίποτα")</f>
        <v>Υπερσθενής</v>
      </c>
      <c r="AO26" s="26" t="str">
        <f>IF(AL12&gt;0,IF(AN5&gt;=0,"Τιτανίτης",IF(AL12+AN5&gt;0,"Και τα δύο","Περοβσκίτης")),"Τίποτα")</f>
        <v>Τίποτα</v>
      </c>
      <c r="AP26" s="26" t="str">
        <f>IF(AL14&gt;0,IF(AO5&gt;=0,"Αλβίτης",IF(AL14+(AO5/4)&gt;0,"Και τα δύο","Νεφελίνης")),"Τίποτα")</f>
        <v>Αλβίτης</v>
      </c>
      <c r="AQ26" s="26" t="str">
        <f>IF(AL15&gt;0,IF(AP5&gt;=0,"Ορθόκλαστο",IF(AL15+(AP5/2)&gt;0,"Και τα δύο","Λευκίτης")),"Τίποτα")</f>
        <v>Ορθόκλαστο</v>
      </c>
      <c r="AR26" s="26" t="str">
        <f>IF(AL16&gt;0,IF(AQ5&gt;=0,"Βολλαστονίτης",IF(AL16+(AQ5*2)&gt;0,"Και τα δύο","Λαρνίτης")),"Τίποτα")</f>
        <v>Τίποτα</v>
      </c>
      <c r="AS26" s="26" t="str">
        <f>IF(AL11&gt;0,IF(AR5&gt;=0,"Διοψίδιος",IF(AL11+AR5&gt;0,"Και τα δύο","ΛαρνίτηςΟλιβίνης")),"Τίποτα")</f>
        <v>Τίποτα</v>
      </c>
      <c r="AT26" s="26" t="str">
        <f>IF(AQ20&gt;0,IF(AS5&gt;=0,"Λευκίτης",IF(AQ20+(AS5/2)&gt;0,"Και τα δύο","Καλσιλίτης")),"Τίποτα")</f>
        <v>Τίποτα</v>
      </c>
      <c r="AU26" s="29">
        <f>W17</f>
        <v>0</v>
      </c>
      <c r="AV26" s="1" t="s">
        <v>94</v>
      </c>
      <c r="AW26" s="1">
        <f>Q12+Q17</f>
        <v>136.13759999999999</v>
      </c>
      <c r="AX26" s="26">
        <f t="shared" si="3"/>
        <v>0</v>
      </c>
      <c r="AY26" s="26">
        <v>2.96</v>
      </c>
      <c r="AZ26" s="26">
        <f t="shared" si="4"/>
        <v>0</v>
      </c>
      <c r="BA26" s="26">
        <f t="shared" si="5"/>
        <v>0</v>
      </c>
      <c r="BB26" s="26">
        <f t="shared" si="6"/>
        <v>0</v>
      </c>
    </row>
    <row r="27" spans="1:54" x14ac:dyDescent="0.15">
      <c r="A27" s="37" t="s">
        <v>144</v>
      </c>
      <c r="B27" s="76">
        <f>SUM(B6:B21)</f>
        <v>97.789999999999992</v>
      </c>
      <c r="C27" s="73"/>
      <c r="D27" s="10"/>
      <c r="E27" s="24"/>
      <c r="F27" s="24"/>
      <c r="G27" s="24"/>
      <c r="H27" s="74">
        <f>SUM(H6:H26)</f>
        <v>99.989999999999981</v>
      </c>
      <c r="I27" s="24"/>
      <c r="J27" s="35" t="s">
        <v>88</v>
      </c>
      <c r="K27" s="41">
        <f>ROUND(AX18,2)</f>
        <v>0</v>
      </c>
      <c r="L27" s="41" t="b">
        <f t="shared" si="7"/>
        <v>1</v>
      </c>
      <c r="M27" s="42">
        <f>ROUND(BA18,2)</f>
        <v>0</v>
      </c>
      <c r="N27" s="23" t="b">
        <f t="shared" si="0"/>
        <v>1</v>
      </c>
      <c r="O27" s="24"/>
      <c r="P27" s="77"/>
      <c r="Q27" s="1" t="s">
        <v>118</v>
      </c>
      <c r="T27" s="1">
        <v>493.31380000000001</v>
      </c>
      <c r="U27" s="1" t="s">
        <v>98</v>
      </c>
      <c r="W27" s="1" t="s">
        <v>94</v>
      </c>
      <c r="Y27" s="1" t="s">
        <v>102</v>
      </c>
      <c r="Z27" s="1" t="s">
        <v>83</v>
      </c>
      <c r="AA27" s="1" t="s">
        <v>95</v>
      </c>
      <c r="AC27" s="1" t="s">
        <v>71</v>
      </c>
      <c r="AD27" s="1" t="s">
        <v>103</v>
      </c>
      <c r="AE27" s="1" t="s">
        <v>75</v>
      </c>
      <c r="AF27" s="1" t="s">
        <v>90</v>
      </c>
      <c r="AG27" s="1" t="s">
        <v>81</v>
      </c>
      <c r="AH27" s="1" t="s">
        <v>84</v>
      </c>
      <c r="AJ27" s="1" t="s">
        <v>77</v>
      </c>
      <c r="AL27" s="26"/>
      <c r="AM27" s="26"/>
      <c r="AN27" s="26"/>
      <c r="AO27" s="26"/>
      <c r="AP27" s="26">
        <f>IF(AL8=0,0,AL8/(AL8+(AP14*2)))</f>
        <v>2.8251854435216675E-2</v>
      </c>
      <c r="AQ27" s="26" t="s">
        <v>106</v>
      </c>
      <c r="AR27" s="26"/>
      <c r="AS27" s="26"/>
      <c r="AT27" s="26"/>
      <c r="AU27" s="29">
        <f>W21</f>
        <v>0</v>
      </c>
      <c r="AV27" s="1" t="s">
        <v>101</v>
      </c>
      <c r="AW27" s="1">
        <f>Q13+Q17</f>
        <v>142.03710000000001</v>
      </c>
      <c r="AX27" s="26">
        <f t="shared" si="3"/>
        <v>0</v>
      </c>
      <c r="AY27" s="26">
        <v>2.68</v>
      </c>
      <c r="AZ27" s="26">
        <f t="shared" si="4"/>
        <v>0</v>
      </c>
      <c r="BA27" s="26">
        <f t="shared" si="5"/>
        <v>0</v>
      </c>
      <c r="BB27" s="26">
        <f t="shared" si="6"/>
        <v>0</v>
      </c>
    </row>
    <row r="28" spans="1:54" x14ac:dyDescent="0.15">
      <c r="A28" s="10"/>
      <c r="B28" s="10"/>
      <c r="C28" s="10"/>
      <c r="D28" s="10"/>
      <c r="E28" s="31"/>
      <c r="F28" s="31"/>
      <c r="G28" s="31"/>
      <c r="H28" s="10"/>
      <c r="I28" s="10"/>
      <c r="J28" s="35" t="s">
        <v>89</v>
      </c>
      <c r="K28" s="41">
        <f>ROUND(AX30+AX29,2)</f>
        <v>0</v>
      </c>
      <c r="L28" s="41" t="b">
        <f t="shared" si="7"/>
        <v>1</v>
      </c>
      <c r="M28" s="42">
        <f>ROUND(BA30+BA29,2)</f>
        <v>0</v>
      </c>
      <c r="N28" s="23" t="b">
        <f t="shared" si="0"/>
        <v>1</v>
      </c>
      <c r="O28" s="24"/>
      <c r="P28" s="78"/>
      <c r="Q28" s="1" t="s">
        <v>119</v>
      </c>
      <c r="T28" s="1">
        <v>512.31219999999996</v>
      </c>
      <c r="U28" s="1" t="s">
        <v>99</v>
      </c>
      <c r="W28" s="1" t="s">
        <v>101</v>
      </c>
      <c r="Y28" s="1" t="s">
        <v>89</v>
      </c>
      <c r="Z28" s="1" t="s">
        <v>90</v>
      </c>
      <c r="AA28" s="1" t="s">
        <v>42</v>
      </c>
      <c r="AC28" s="1" t="s">
        <v>27</v>
      </c>
      <c r="AD28" s="1" t="s">
        <v>29</v>
      </c>
      <c r="AE28" s="1" t="s">
        <v>97</v>
      </c>
      <c r="AF28" s="1" t="s">
        <v>82</v>
      </c>
      <c r="AG28" s="1" t="s">
        <v>29</v>
      </c>
      <c r="AH28" s="1" t="s">
        <v>85</v>
      </c>
      <c r="AJ28" s="1" t="s">
        <v>76</v>
      </c>
      <c r="AL28" s="26"/>
      <c r="AM28" s="26"/>
      <c r="AN28" s="26"/>
      <c r="AO28" s="26"/>
      <c r="AP28" s="26"/>
      <c r="AQ28" s="26"/>
      <c r="AR28" s="26"/>
      <c r="AS28" s="26"/>
      <c r="AT28" s="26"/>
      <c r="AU28" s="29">
        <f>X18</f>
        <v>0</v>
      </c>
      <c r="AV28" s="1" t="s">
        <v>91</v>
      </c>
      <c r="AW28" s="1">
        <f>(Q18*2)+Q9</f>
        <v>135.96640000000002</v>
      </c>
      <c r="AX28" s="26">
        <f t="shared" si="3"/>
        <v>0</v>
      </c>
      <c r="AY28" s="26">
        <v>4.99</v>
      </c>
      <c r="AZ28" s="26">
        <f t="shared" si="4"/>
        <v>0</v>
      </c>
      <c r="BA28" s="26">
        <f t="shared" si="5"/>
        <v>0</v>
      </c>
      <c r="BB28" s="26">
        <f t="shared" si="6"/>
        <v>0</v>
      </c>
    </row>
    <row r="29" spans="1:54" x14ac:dyDescent="0.15">
      <c r="A29" s="10"/>
      <c r="B29" s="10"/>
      <c r="C29" s="10"/>
      <c r="D29" s="10"/>
      <c r="E29" s="39"/>
      <c r="F29" s="39"/>
      <c r="G29" s="39"/>
      <c r="H29" s="10"/>
      <c r="I29" s="10"/>
      <c r="J29" s="35" t="s">
        <v>90</v>
      </c>
      <c r="K29" s="41">
        <f>ROUND(AX12,2)</f>
        <v>0</v>
      </c>
      <c r="L29" s="41" t="b">
        <f t="shared" si="7"/>
        <v>1</v>
      </c>
      <c r="M29" s="42">
        <f>ROUND(BA12,2)</f>
        <v>0</v>
      </c>
      <c r="N29" s="23" t="b">
        <f t="shared" si="0"/>
        <v>1</v>
      </c>
      <c r="O29" s="24"/>
      <c r="P29" s="79"/>
      <c r="T29" s="1">
        <f>IF(AND(S19&lt;=T15/3,T15&gt;0),((S19/(T15/3))*T28)+((1-(S19/(T15/3)))*T27),T28)</f>
        <v>493.31380000000001</v>
      </c>
      <c r="U29" s="1" t="s">
        <v>100</v>
      </c>
      <c r="AJ29" s="1" t="s">
        <v>78</v>
      </c>
      <c r="AL29" s="26"/>
      <c r="AM29" s="26"/>
      <c r="AN29" s="26"/>
      <c r="AO29" s="26"/>
      <c r="AP29" s="26"/>
      <c r="AQ29" s="26"/>
      <c r="AR29" s="26"/>
      <c r="AS29" s="26"/>
      <c r="AT29" s="26"/>
      <c r="AU29" s="29">
        <f>Y23</f>
        <v>0</v>
      </c>
      <c r="AV29" s="1" t="s">
        <v>102</v>
      </c>
      <c r="AW29" s="1">
        <f>Q11+Q24</f>
        <v>192.2946</v>
      </c>
      <c r="AX29" s="26">
        <f t="shared" si="3"/>
        <v>0</v>
      </c>
      <c r="AY29" s="26">
        <v>4.43</v>
      </c>
      <c r="AZ29" s="26">
        <f t="shared" si="4"/>
        <v>0</v>
      </c>
      <c r="BA29" s="26">
        <f t="shared" si="5"/>
        <v>0</v>
      </c>
      <c r="BB29" s="26">
        <f t="shared" si="6"/>
        <v>0</v>
      </c>
    </row>
    <row r="30" spans="1:54" x14ac:dyDescent="0.15">
      <c r="A30" s="10"/>
      <c r="B30" s="10"/>
      <c r="C30" s="10"/>
      <c r="D30" s="10"/>
      <c r="E30" s="24"/>
      <c r="F30" s="24"/>
      <c r="G30" s="24"/>
      <c r="H30" s="10"/>
      <c r="I30" s="10"/>
      <c r="J30" s="35" t="s">
        <v>91</v>
      </c>
      <c r="K30" s="41">
        <f>ROUND(AX28,2)</f>
        <v>0</v>
      </c>
      <c r="L30" s="41" t="b">
        <f t="shared" si="7"/>
        <v>1</v>
      </c>
      <c r="M30" s="42">
        <f>ROUND(BA28,2)</f>
        <v>0</v>
      </c>
      <c r="N30" s="23" t="b">
        <f t="shared" si="0"/>
        <v>1</v>
      </c>
      <c r="O30" s="24"/>
      <c r="P30" s="1"/>
      <c r="AI30" s="1">
        <f>IF(AH11&gt;0,AH11/(AH11+AH9),0)</f>
        <v>0.38378864200440266</v>
      </c>
      <c r="AJ30" s="1" t="s">
        <v>104</v>
      </c>
      <c r="AL30" s="26"/>
      <c r="AM30" s="26"/>
      <c r="AN30" s="26"/>
      <c r="AO30" s="26"/>
      <c r="AP30" s="26"/>
      <c r="AQ30" s="26"/>
      <c r="AR30" s="26"/>
      <c r="AS30" s="26"/>
      <c r="AT30" s="26"/>
      <c r="AU30" s="29">
        <f>Y24</f>
        <v>0</v>
      </c>
      <c r="AV30" s="1" t="s">
        <v>89</v>
      </c>
      <c r="AW30" s="1">
        <f>Q9+Q24</f>
        <v>223.83659999999998</v>
      </c>
      <c r="AX30" s="26">
        <f t="shared" si="3"/>
        <v>0</v>
      </c>
      <c r="AY30" s="26">
        <v>5.09</v>
      </c>
      <c r="AZ30" s="26">
        <f t="shared" si="4"/>
        <v>0</v>
      </c>
      <c r="BA30" s="26">
        <f t="shared" si="5"/>
        <v>0</v>
      </c>
      <c r="BB30" s="26">
        <f t="shared" si="6"/>
        <v>0</v>
      </c>
    </row>
    <row r="31" spans="1:54" x14ac:dyDescent="0.15">
      <c r="A31" s="10"/>
      <c r="B31" s="10"/>
      <c r="C31" s="10"/>
      <c r="D31" s="10"/>
      <c r="E31" s="24"/>
      <c r="F31" s="24"/>
      <c r="G31" s="24"/>
      <c r="H31" s="10"/>
      <c r="I31" s="10"/>
      <c r="J31" s="35" t="s">
        <v>92</v>
      </c>
      <c r="K31" s="41">
        <f>ROUND(AX24,2)</f>
        <v>0</v>
      </c>
      <c r="L31" s="41" t="b">
        <f t="shared" si="7"/>
        <v>1</v>
      </c>
      <c r="M31" s="42">
        <f>ROUND(BA24,2)</f>
        <v>0</v>
      </c>
      <c r="N31" s="23" t="b">
        <f t="shared" si="0"/>
        <v>1</v>
      </c>
      <c r="O31" s="24"/>
      <c r="P31" s="1"/>
      <c r="AI31" s="1">
        <f>(AI30*Q11)+((1-AI30)*Q9)</f>
        <v>59.740938653897132</v>
      </c>
      <c r="AJ31" s="1" t="s">
        <v>105</v>
      </c>
      <c r="AL31" s="26"/>
      <c r="AM31" s="26"/>
      <c r="AN31" s="26"/>
      <c r="AO31" s="26"/>
      <c r="AP31" s="26"/>
      <c r="AQ31" s="26"/>
      <c r="AR31" s="26"/>
      <c r="AS31" s="26"/>
      <c r="AT31" s="26"/>
      <c r="AU31" s="29">
        <f>Z6</f>
        <v>1.8773748792222161E-3</v>
      </c>
      <c r="AV31" s="1" t="s">
        <v>83</v>
      </c>
      <c r="AW31" s="1">
        <f>Q9+Q6</f>
        <v>151.74520000000001</v>
      </c>
      <c r="AX31" s="26">
        <f t="shared" si="3"/>
        <v>0.28488262652255103</v>
      </c>
      <c r="AY31" s="26">
        <v>4.75</v>
      </c>
      <c r="AZ31" s="26">
        <f t="shared" si="4"/>
        <v>5.9975289794221266E-2</v>
      </c>
      <c r="BA31" s="26">
        <f t="shared" si="5"/>
        <v>0.16240014769124517</v>
      </c>
      <c r="BB31" s="26">
        <f t="shared" si="6"/>
        <v>7.7140070153341456E-3</v>
      </c>
    </row>
    <row r="32" spans="1:54" x14ac:dyDescent="0.15">
      <c r="A32" s="10"/>
      <c r="B32" s="10"/>
      <c r="C32" s="10"/>
      <c r="D32" s="10"/>
      <c r="E32" s="24"/>
      <c r="F32" s="24"/>
      <c r="G32" s="24"/>
      <c r="H32" s="10"/>
      <c r="I32" s="10"/>
      <c r="J32" s="35" t="s">
        <v>93</v>
      </c>
      <c r="K32" s="41">
        <f>ROUND(AX25,2)</f>
        <v>0</v>
      </c>
      <c r="L32" s="41" t="b">
        <f t="shared" si="7"/>
        <v>1</v>
      </c>
      <c r="M32" s="42">
        <f>ROUND(BA25,2)</f>
        <v>0</v>
      </c>
      <c r="N32" s="23" t="b">
        <f t="shared" si="0"/>
        <v>1</v>
      </c>
      <c r="O32" s="24"/>
      <c r="P32" s="152" t="s">
        <v>129</v>
      </c>
      <c r="Q32" s="152"/>
      <c r="R32" s="152"/>
      <c r="Y32" s="3" t="s">
        <v>135</v>
      </c>
      <c r="AL32" s="26"/>
      <c r="AM32" s="26"/>
      <c r="AN32" s="26"/>
      <c r="AO32" s="26"/>
      <c r="AP32" s="26"/>
      <c r="AQ32" s="26"/>
      <c r="AR32" s="26"/>
      <c r="AS32" s="26"/>
      <c r="AT32" s="26"/>
      <c r="AU32" s="29">
        <f>AA16</f>
        <v>0</v>
      </c>
      <c r="AV32" s="1" t="s">
        <v>95</v>
      </c>
      <c r="AW32" s="1">
        <f>Q12+Q16</f>
        <v>100.08920000000001</v>
      </c>
      <c r="AX32" s="26">
        <f t="shared" si="3"/>
        <v>0</v>
      </c>
      <c r="AY32" s="26">
        <v>2.71</v>
      </c>
      <c r="AZ32" s="26">
        <f t="shared" si="4"/>
        <v>0</v>
      </c>
      <c r="BA32" s="26">
        <f t="shared" si="5"/>
        <v>0</v>
      </c>
      <c r="BB32" s="26">
        <f t="shared" si="6"/>
        <v>0</v>
      </c>
    </row>
    <row r="33" spans="1:55" x14ac:dyDescent="0.15">
      <c r="A33" s="10"/>
      <c r="B33" s="10"/>
      <c r="C33" s="10"/>
      <c r="D33" s="10"/>
      <c r="E33" s="55"/>
      <c r="F33" s="55"/>
      <c r="G33" s="55"/>
      <c r="H33" s="10"/>
      <c r="I33" s="10"/>
      <c r="J33" s="35" t="s">
        <v>94</v>
      </c>
      <c r="K33" s="41">
        <f>ROUND(AX26,2)</f>
        <v>0</v>
      </c>
      <c r="L33" s="41" t="b">
        <f t="shared" si="7"/>
        <v>1</v>
      </c>
      <c r="M33" s="42">
        <f>ROUND(BA26,2)</f>
        <v>0</v>
      </c>
      <c r="N33" s="23" t="b">
        <f t="shared" si="0"/>
        <v>1</v>
      </c>
      <c r="O33" s="24"/>
      <c r="P33" s="80"/>
      <c r="Q33" s="81" t="s">
        <v>130</v>
      </c>
      <c r="R33" s="81" t="s">
        <v>131</v>
      </c>
      <c r="S33" s="82" t="s">
        <v>132</v>
      </c>
      <c r="T33" s="81" t="s">
        <v>133</v>
      </c>
      <c r="U33" s="82" t="s">
        <v>134</v>
      </c>
      <c r="V33" s="81" t="s">
        <v>43</v>
      </c>
      <c r="W33" s="83">
        <f>(K49-1400)*0.00001</f>
        <v>-7.2261446144614465E-3</v>
      </c>
      <c r="X33" s="6"/>
      <c r="Y33" s="84"/>
      <c r="Z33" s="81" t="s">
        <v>130</v>
      </c>
      <c r="AA33" s="81" t="s">
        <v>136</v>
      </c>
      <c r="AB33" s="81" t="s">
        <v>137</v>
      </c>
      <c r="AC33" s="85" t="s">
        <v>134</v>
      </c>
      <c r="AD33" s="85" t="s">
        <v>138</v>
      </c>
      <c r="AE33" s="85" t="s">
        <v>139</v>
      </c>
      <c r="AF33" s="85"/>
      <c r="AG33" s="85" t="s">
        <v>140</v>
      </c>
      <c r="AH33" s="83"/>
      <c r="AL33" s="26"/>
      <c r="AM33" s="26"/>
      <c r="AN33" s="26"/>
      <c r="AO33" s="26"/>
      <c r="AP33" s="26"/>
      <c r="AQ33" s="26"/>
      <c r="AR33" s="26"/>
      <c r="AS33" s="26"/>
      <c r="AT33" s="26"/>
      <c r="AU33" s="29">
        <f>AA17</f>
        <v>0</v>
      </c>
      <c r="AV33" s="1" t="s">
        <v>42</v>
      </c>
      <c r="AW33" s="1">
        <f>Q13+Q16</f>
        <v>105.98869999999999</v>
      </c>
      <c r="AX33" s="26">
        <f t="shared" si="3"/>
        <v>0</v>
      </c>
      <c r="AY33" s="26">
        <v>2.5299999999999998</v>
      </c>
      <c r="AZ33" s="26">
        <f t="shared" si="4"/>
        <v>0</v>
      </c>
      <c r="BA33" s="26">
        <f t="shared" si="5"/>
        <v>0</v>
      </c>
      <c r="BB33" s="26">
        <f t="shared" si="6"/>
        <v>0</v>
      </c>
    </row>
    <row r="34" spans="1:55" ht="12" x14ac:dyDescent="0.2">
      <c r="A34" s="10"/>
      <c r="B34" s="10"/>
      <c r="C34" s="10"/>
      <c r="D34" s="10"/>
      <c r="E34" s="10"/>
      <c r="F34" s="10"/>
      <c r="G34" s="10"/>
      <c r="H34" s="10"/>
      <c r="I34" s="10"/>
      <c r="J34" s="35" t="s">
        <v>147</v>
      </c>
      <c r="K34" s="41">
        <f>ROUND(AX27,2)</f>
        <v>0</v>
      </c>
      <c r="L34" s="41" t="b">
        <f t="shared" si="7"/>
        <v>1</v>
      </c>
      <c r="M34" s="42">
        <f>ROUND(BA27,2)</f>
        <v>0</v>
      </c>
      <c r="N34" s="23" t="b">
        <f t="shared" si="0"/>
        <v>1</v>
      </c>
      <c r="O34" s="24"/>
      <c r="P34" s="25" t="s">
        <v>148</v>
      </c>
      <c r="Q34" s="86">
        <f t="shared" ref="Q34:Q43" si="21">H6</f>
        <v>79.239999999999995</v>
      </c>
      <c r="R34" s="86">
        <f t="shared" ref="R34:R43" si="22">Q34*(100/Q$44)</f>
        <v>79.26377913374013</v>
      </c>
      <c r="S34" s="87">
        <f t="shared" ref="S34:S43" si="23">R34/Q5</f>
        <v>1.3192094962201462</v>
      </c>
      <c r="T34" s="88">
        <v>1</v>
      </c>
      <c r="U34" s="87">
        <f t="shared" ref="U34:U43" si="24">S34*T34</f>
        <v>1.3192094962201462</v>
      </c>
      <c r="V34" s="89" t="s">
        <v>44</v>
      </c>
      <c r="W34" s="90">
        <f>U34*27.03</f>
        <v>35.658232682830551</v>
      </c>
      <c r="X34" s="6"/>
      <c r="Y34" s="25" t="s">
        <v>148</v>
      </c>
      <c r="Z34" s="45">
        <f t="shared" ref="Z34:Z43" si="25">H6</f>
        <v>79.239999999999995</v>
      </c>
      <c r="AA34" s="45">
        <f t="shared" ref="AA34:AA44" si="26">Z34*(100/Z$45)</f>
        <v>79.26377913374013</v>
      </c>
      <c r="AB34" s="88">
        <v>1</v>
      </c>
      <c r="AC34" s="46">
        <f t="shared" ref="AC34:AC44" si="27">(AA34/Q5)*AB34</f>
        <v>1.3192094962201462</v>
      </c>
      <c r="AD34" s="46">
        <f t="shared" ref="AD34:AD44" si="28">AC34*(1/AC$45)</f>
        <v>0.76130084882670979</v>
      </c>
      <c r="AE34" s="91" t="s">
        <v>45</v>
      </c>
      <c r="AF34" s="46">
        <f>AD34+AD35+AD36+AF37+AD41+((AF42+AD44)/2)</f>
        <v>0.96267737246987095</v>
      </c>
      <c r="AG34" s="92" t="s">
        <v>46</v>
      </c>
      <c r="AH34" s="93">
        <f>AD36*6.7</f>
        <v>0.98169496525728106</v>
      </c>
      <c r="AL34" s="26"/>
      <c r="AM34" s="26"/>
      <c r="AN34" s="26"/>
      <c r="AO34" s="26"/>
      <c r="AP34" s="26"/>
      <c r="AQ34" s="26"/>
      <c r="AR34" s="26"/>
      <c r="AS34" s="26"/>
      <c r="AT34" s="26"/>
      <c r="AU34" s="29">
        <f>AE7</f>
        <v>6.1299378618141033E-2</v>
      </c>
      <c r="AV34" s="1" t="s">
        <v>75</v>
      </c>
      <c r="AW34" s="1">
        <f>Q7</f>
        <v>101.96129999999999</v>
      </c>
      <c r="AX34" s="26">
        <f t="shared" si="3"/>
        <v>6.2501643330978629</v>
      </c>
      <c r="AY34" s="26">
        <v>3.98</v>
      </c>
      <c r="AZ34" s="26">
        <f t="shared" si="4"/>
        <v>1.570393048517051</v>
      </c>
      <c r="BA34" s="26">
        <f t="shared" si="5"/>
        <v>4.2522856310908006</v>
      </c>
      <c r="BB34" s="26">
        <f t="shared" si="6"/>
        <v>0.16924096811741385</v>
      </c>
    </row>
    <row r="35" spans="1:55" ht="12" x14ac:dyDescent="0.2">
      <c r="A35" s="10"/>
      <c r="B35" s="10"/>
      <c r="C35" s="10"/>
      <c r="D35" s="10"/>
      <c r="E35" s="10"/>
      <c r="F35" s="10"/>
      <c r="G35" s="10"/>
      <c r="H35" s="10"/>
      <c r="I35" s="10"/>
      <c r="J35" s="35" t="s">
        <v>95</v>
      </c>
      <c r="K35" s="41">
        <f>ROUND(AX32,2)</f>
        <v>0</v>
      </c>
      <c r="L35" s="41" t="b">
        <f t="shared" si="7"/>
        <v>1</v>
      </c>
      <c r="M35" s="42">
        <f>ROUND(BA32,2)</f>
        <v>0</v>
      </c>
      <c r="N35" s="23" t="b">
        <f t="shared" si="0"/>
        <v>1</v>
      </c>
      <c r="O35" s="24"/>
      <c r="P35" s="35" t="s">
        <v>149</v>
      </c>
      <c r="Q35" s="86">
        <f t="shared" si="21"/>
        <v>0.15</v>
      </c>
      <c r="R35" s="86">
        <f t="shared" si="22"/>
        <v>0.15004501350405122</v>
      </c>
      <c r="S35" s="87">
        <f t="shared" si="23"/>
        <v>1.8779382607004265E-3</v>
      </c>
      <c r="T35" s="88">
        <v>1</v>
      </c>
      <c r="U35" s="87">
        <f t="shared" si="24"/>
        <v>1.8779382607004265E-3</v>
      </c>
      <c r="V35" s="89" t="s">
        <v>47</v>
      </c>
      <c r="W35" s="90">
        <f>U35*22.6*(1+(W$33*26.7))</f>
        <v>3.4252842355723678E-2</v>
      </c>
      <c r="X35" s="6"/>
      <c r="Y35" s="35" t="s">
        <v>149</v>
      </c>
      <c r="Z35" s="45">
        <f t="shared" si="25"/>
        <v>0.15</v>
      </c>
      <c r="AA35" s="45">
        <f t="shared" si="26"/>
        <v>0.15004501350405122</v>
      </c>
      <c r="AB35" s="88">
        <v>1</v>
      </c>
      <c r="AC35" s="46">
        <f t="shared" si="27"/>
        <v>1.8779382607004265E-3</v>
      </c>
      <c r="AD35" s="46">
        <f t="shared" si="28"/>
        <v>1.0837368863791208E-3</v>
      </c>
      <c r="AE35" s="91"/>
      <c r="AF35" s="46"/>
      <c r="AG35" s="92" t="s">
        <v>48</v>
      </c>
      <c r="AH35" s="93">
        <f>AF37*3.4</f>
        <v>5.3125103485502444E-2</v>
      </c>
      <c r="AL35" s="26"/>
      <c r="AM35" s="26"/>
      <c r="AN35" s="26"/>
      <c r="AO35" s="26"/>
      <c r="AP35" s="26"/>
      <c r="AQ35" s="26"/>
      <c r="AR35" s="26"/>
      <c r="AS35" s="26"/>
      <c r="AT35" s="26"/>
      <c r="AU35" s="29">
        <f>AF18</f>
        <v>0</v>
      </c>
      <c r="AV35" s="1" t="s">
        <v>82</v>
      </c>
      <c r="AW35" s="1">
        <f>Q6</f>
        <v>79.898799999999994</v>
      </c>
      <c r="AX35" s="26">
        <f t="shared" si="3"/>
        <v>0</v>
      </c>
      <c r="AY35" s="26">
        <v>4.2</v>
      </c>
      <c r="AZ35" s="26">
        <f t="shared" si="4"/>
        <v>0</v>
      </c>
      <c r="BA35" s="26">
        <f t="shared" si="5"/>
        <v>0</v>
      </c>
      <c r="BB35" s="26">
        <f t="shared" si="6"/>
        <v>0</v>
      </c>
    </row>
    <row r="36" spans="1:55" ht="12" x14ac:dyDescent="0.2">
      <c r="A36" s="10"/>
      <c r="B36" s="10"/>
      <c r="C36" s="10"/>
      <c r="D36" s="10"/>
      <c r="E36" s="10"/>
      <c r="F36" s="10"/>
      <c r="G36" s="10"/>
      <c r="H36" s="10"/>
      <c r="I36" s="10"/>
      <c r="J36" s="37" t="s">
        <v>42</v>
      </c>
      <c r="K36" s="76">
        <f>ROUND(AX33,2)</f>
        <v>0</v>
      </c>
      <c r="L36" s="41" t="b">
        <f t="shared" si="7"/>
        <v>1</v>
      </c>
      <c r="M36" s="94">
        <f>ROUND(BA33,2)</f>
        <v>0</v>
      </c>
      <c r="N36" s="23"/>
      <c r="O36" s="24"/>
      <c r="P36" s="35" t="s">
        <v>150</v>
      </c>
      <c r="Q36" s="86">
        <f t="shared" si="21"/>
        <v>12.94</v>
      </c>
      <c r="R36" s="86">
        <f t="shared" si="22"/>
        <v>12.943883164949487</v>
      </c>
      <c r="S36" s="87">
        <f t="shared" si="23"/>
        <v>0.12694898127965695</v>
      </c>
      <c r="T36" s="88">
        <v>2</v>
      </c>
      <c r="U36" s="87">
        <f t="shared" si="24"/>
        <v>0.25389796255931391</v>
      </c>
      <c r="V36" s="89" t="s">
        <v>49</v>
      </c>
      <c r="W36" s="90">
        <f>U36*18.315*(1+(W$33*14.7))</f>
        <v>4.1561830719480168</v>
      </c>
      <c r="X36" s="6"/>
      <c r="Y36" s="35" t="s">
        <v>150</v>
      </c>
      <c r="Z36" s="45">
        <f t="shared" si="25"/>
        <v>12.94</v>
      </c>
      <c r="AA36" s="45">
        <f t="shared" si="26"/>
        <v>12.943883164949487</v>
      </c>
      <c r="AB36" s="88">
        <v>2</v>
      </c>
      <c r="AC36" s="46">
        <f t="shared" si="27"/>
        <v>0.25389796255931391</v>
      </c>
      <c r="AD36" s="46">
        <f t="shared" si="28"/>
        <v>0.14652163660556433</v>
      </c>
      <c r="AE36" s="91"/>
      <c r="AF36" s="46"/>
      <c r="AG36" s="92" t="s">
        <v>50</v>
      </c>
      <c r="AH36" s="93">
        <f>(AD35+AD41)*4.5</f>
        <v>8.5825308174992797E-3</v>
      </c>
      <c r="AL36" s="26"/>
      <c r="AM36" s="26"/>
      <c r="AN36" s="26"/>
      <c r="AO36" s="26"/>
      <c r="AP36" s="26"/>
      <c r="AQ36" s="26"/>
      <c r="AR36" s="26"/>
      <c r="AS36" s="26"/>
      <c r="AT36" s="26"/>
      <c r="AU36" s="29">
        <f>AH8</f>
        <v>6.888251273387179E-3</v>
      </c>
      <c r="AV36" s="1" t="s">
        <v>84</v>
      </c>
      <c r="AW36" s="1">
        <f>Q9+Q8</f>
        <v>231.53860000000003</v>
      </c>
      <c r="AX36" s="26">
        <f t="shared" si="3"/>
        <v>1.5948960562882848</v>
      </c>
      <c r="AY36" s="26">
        <v>5.2</v>
      </c>
      <c r="AZ36" s="26">
        <f t="shared" si="4"/>
        <v>0.30671078005543939</v>
      </c>
      <c r="BA36" s="26">
        <f t="shared" si="5"/>
        <v>0.83050663282163328</v>
      </c>
      <c r="BB36" s="26">
        <f t="shared" si="6"/>
        <v>4.3186344906724933E-2</v>
      </c>
    </row>
    <row r="37" spans="1:55" ht="12" x14ac:dyDescent="0.2">
      <c r="A37" s="10"/>
      <c r="B37" s="10"/>
      <c r="C37" s="10"/>
      <c r="D37" s="10"/>
      <c r="E37" s="10"/>
      <c r="F37" s="10"/>
      <c r="G37" s="10"/>
      <c r="H37" s="10"/>
      <c r="I37" s="10"/>
      <c r="J37" s="37" t="s">
        <v>144</v>
      </c>
      <c r="K37" s="76">
        <f>SUM(K6:K36)</f>
        <v>99.98</v>
      </c>
      <c r="L37" s="76" t="b">
        <v>0</v>
      </c>
      <c r="M37" s="94">
        <f>SUM(M6:M36)</f>
        <v>100</v>
      </c>
      <c r="O37" s="10"/>
      <c r="P37" s="35" t="s">
        <v>151</v>
      </c>
      <c r="Q37" s="86">
        <f t="shared" si="21"/>
        <v>1.1000000000000001</v>
      </c>
      <c r="R37" s="86">
        <f t="shared" si="22"/>
        <v>1.1003300990297091</v>
      </c>
      <c r="S37" s="87">
        <f t="shared" si="23"/>
        <v>6.8903183688978483E-3</v>
      </c>
      <c r="T37" s="88">
        <v>2</v>
      </c>
      <c r="U37" s="87">
        <f t="shared" si="24"/>
        <v>1.3780636737795697E-2</v>
      </c>
      <c r="V37" s="89" t="s">
        <v>51</v>
      </c>
      <c r="W37" s="90">
        <f>U37*21.865*(1+(W$33*12.1))</f>
        <v>0.27496785898489073</v>
      </c>
      <c r="X37" s="6"/>
      <c r="Y37" s="35" t="s">
        <v>151</v>
      </c>
      <c r="Z37" s="45">
        <f t="shared" si="25"/>
        <v>1.1000000000000001</v>
      </c>
      <c r="AA37" s="45">
        <f t="shared" si="26"/>
        <v>1.1003300990297091</v>
      </c>
      <c r="AB37" s="88">
        <v>2</v>
      </c>
      <c r="AC37" s="46">
        <f t="shared" si="27"/>
        <v>1.3780636737795697E-2</v>
      </c>
      <c r="AD37" s="46">
        <f t="shared" si="28"/>
        <v>7.952649276643518E-3</v>
      </c>
      <c r="AE37" s="91" t="s">
        <v>52</v>
      </c>
      <c r="AF37" s="46">
        <f>AD37+AD38+AD39+AD40</f>
        <v>1.5625030436912483E-2</v>
      </c>
      <c r="AG37" s="92" t="s">
        <v>53</v>
      </c>
      <c r="AH37" s="93">
        <f>AF42*1.4</f>
        <v>0.10450335708436118</v>
      </c>
      <c r="AL37" s="26"/>
      <c r="AM37" s="26"/>
      <c r="AN37" s="26"/>
      <c r="AO37" s="26"/>
      <c r="AP37" s="26"/>
      <c r="AQ37" s="26"/>
      <c r="AR37" s="26"/>
      <c r="AS37" s="26"/>
      <c r="AT37" s="26"/>
      <c r="AU37" s="71">
        <f>AH22</f>
        <v>0</v>
      </c>
      <c r="AV37" s="7" t="s">
        <v>85</v>
      </c>
      <c r="AW37" s="7">
        <f>Q8</f>
        <v>159.69220000000001</v>
      </c>
      <c r="AX37" s="70">
        <f t="shared" si="3"/>
        <v>0</v>
      </c>
      <c r="AY37" s="70">
        <v>5.25</v>
      </c>
      <c r="AZ37" s="70">
        <f t="shared" si="4"/>
        <v>0</v>
      </c>
      <c r="BA37" s="70">
        <f t="shared" si="5"/>
        <v>0</v>
      </c>
      <c r="BB37" s="70">
        <f t="shared" si="6"/>
        <v>0</v>
      </c>
    </row>
    <row r="38" spans="1:55" ht="11.25" x14ac:dyDescent="0.15">
      <c r="A38" s="10"/>
      <c r="B38" s="10"/>
      <c r="C38" s="10"/>
      <c r="D38" s="10"/>
      <c r="E38" s="10"/>
      <c r="F38" s="10"/>
      <c r="G38" s="10"/>
      <c r="H38" s="159" t="s">
        <v>177</v>
      </c>
      <c r="I38" s="160"/>
      <c r="J38" s="160"/>
      <c r="K38" s="96">
        <f>IF(R8&gt;0,100*((R8*2)/((R8*2)+R9)),0)</f>
        <v>54.690928626460831</v>
      </c>
      <c r="L38" s="96"/>
      <c r="M38" s="97">
        <f t="shared" ref="M38:M43" si="29">K38</f>
        <v>54.690928626460831</v>
      </c>
      <c r="N38" s="98"/>
      <c r="O38" s="99"/>
      <c r="P38" s="35" t="s">
        <v>28</v>
      </c>
      <c r="Q38" s="86">
        <f t="shared" si="21"/>
        <v>0.82</v>
      </c>
      <c r="R38" s="86">
        <f t="shared" si="22"/>
        <v>0.82024607382214676</v>
      </c>
      <c r="S38" s="87">
        <f t="shared" si="23"/>
        <v>1.1416662126733514E-2</v>
      </c>
      <c r="T38" s="88">
        <v>1</v>
      </c>
      <c r="U38" s="87">
        <f t="shared" si="24"/>
        <v>1.1416662126733514E-2</v>
      </c>
      <c r="V38" s="89" t="s">
        <v>54</v>
      </c>
      <c r="W38" s="90">
        <f>(U38+U39)*13.85*(1+(W$33*31.2))</f>
        <v>0.12398423352562417</v>
      </c>
      <c r="X38" s="6"/>
      <c r="Y38" s="35" t="s">
        <v>28</v>
      </c>
      <c r="Z38" s="45">
        <f t="shared" si="25"/>
        <v>0.82</v>
      </c>
      <c r="AA38" s="45">
        <f t="shared" si="26"/>
        <v>0.82024607382214676</v>
      </c>
      <c r="AB38" s="88">
        <v>1</v>
      </c>
      <c r="AC38" s="46">
        <f t="shared" si="27"/>
        <v>1.1416662126733514E-2</v>
      </c>
      <c r="AD38" s="46">
        <f t="shared" si="28"/>
        <v>6.5884263210303313E-3</v>
      </c>
      <c r="AE38" s="91"/>
      <c r="AF38" s="46"/>
      <c r="AG38" s="92"/>
      <c r="AH38" s="93"/>
      <c r="AV38" s="1" t="s">
        <v>68</v>
      </c>
      <c r="AX38" s="26">
        <f>SUM(AX5:AX37)</f>
        <v>99.990130779711563</v>
      </c>
      <c r="AY38" s="26"/>
      <c r="AZ38" s="26">
        <f>SUM(AZ5:AZ37)</f>
        <v>36.930563578209401</v>
      </c>
      <c r="BA38" s="26">
        <f>SUM(BA5:BA37)</f>
        <v>99.999999999999986</v>
      </c>
      <c r="BB38" s="26">
        <f>SUM(BB5:BB37)</f>
        <v>2.7075170561087774</v>
      </c>
      <c r="BC38" s="1" t="s">
        <v>55</v>
      </c>
    </row>
    <row r="39" spans="1:55" x14ac:dyDescent="0.15">
      <c r="A39" s="2"/>
      <c r="B39" s="2"/>
      <c r="C39" s="2"/>
      <c r="D39" s="2"/>
      <c r="E39" s="2"/>
      <c r="F39" s="2"/>
      <c r="G39" s="2"/>
      <c r="H39" s="161" t="s">
        <v>112</v>
      </c>
      <c r="I39" s="162"/>
      <c r="J39" s="162"/>
      <c r="K39" s="100">
        <f>IF(R11&gt;0,100*(R11/(R11+R9+(R8*2))),0)</f>
        <v>6.4500830520072068</v>
      </c>
      <c r="L39" s="100"/>
      <c r="M39" s="101">
        <f t="shared" si="29"/>
        <v>6.4500830520072068</v>
      </c>
      <c r="N39" s="102"/>
      <c r="O39" s="99"/>
      <c r="P39" s="35" t="s">
        <v>30</v>
      </c>
      <c r="Q39" s="86">
        <f t="shared" si="21"/>
        <v>0.01</v>
      </c>
      <c r="R39" s="86">
        <f t="shared" si="22"/>
        <v>1.0003000900270082E-2</v>
      </c>
      <c r="S39" s="87">
        <f t="shared" si="23"/>
        <v>1.4101166521848958E-4</v>
      </c>
      <c r="T39" s="88">
        <v>1</v>
      </c>
      <c r="U39" s="87">
        <f t="shared" si="24"/>
        <v>1.4101166521848958E-4</v>
      </c>
      <c r="V39" s="89" t="s">
        <v>56</v>
      </c>
      <c r="W39" s="90"/>
      <c r="X39" s="6"/>
      <c r="Y39" s="35" t="s">
        <v>30</v>
      </c>
      <c r="Z39" s="45">
        <f t="shared" si="25"/>
        <v>0.01</v>
      </c>
      <c r="AA39" s="45">
        <f t="shared" si="26"/>
        <v>1.0003000900270082E-2</v>
      </c>
      <c r="AB39" s="88">
        <v>1</v>
      </c>
      <c r="AC39" s="46">
        <f t="shared" si="27"/>
        <v>1.4101166521848958E-4</v>
      </c>
      <c r="AD39" s="46">
        <f t="shared" si="28"/>
        <v>8.1376233822523424E-5</v>
      </c>
      <c r="AE39" s="91"/>
      <c r="AF39" s="46"/>
      <c r="AG39" s="92" t="s">
        <v>57</v>
      </c>
      <c r="AH39" s="93">
        <f>(AH34+AH35+AH36+AH37)*(AD34/AF34)</f>
        <v>0.90778261145236849</v>
      </c>
    </row>
    <row r="40" spans="1:55" ht="11.25" x14ac:dyDescent="0.15">
      <c r="A40" s="2"/>
      <c r="B40" s="2"/>
      <c r="C40" s="2"/>
      <c r="D40" s="2"/>
      <c r="E40" s="2"/>
      <c r="F40" s="2"/>
      <c r="G40" s="2"/>
      <c r="H40" s="154" t="s">
        <v>175</v>
      </c>
      <c r="I40" s="91"/>
      <c r="J40" s="91"/>
      <c r="K40" s="100">
        <f>IF(R11&gt;0,100*R11/(R11+R9),0)</f>
        <v>13.207455602132585</v>
      </c>
      <c r="L40" s="100"/>
      <c r="M40" s="101">
        <f t="shared" si="29"/>
        <v>13.207455602132585</v>
      </c>
      <c r="N40" s="102"/>
      <c r="O40" s="99"/>
      <c r="P40" s="35" t="s">
        <v>31</v>
      </c>
      <c r="Q40" s="86">
        <f t="shared" si="21"/>
        <v>7.0000000000000007E-2</v>
      </c>
      <c r="R40" s="86">
        <f t="shared" si="22"/>
        <v>7.0021006301890579E-2</v>
      </c>
      <c r="S40" s="87">
        <f t="shared" si="23"/>
        <v>1.7373042720370624E-3</v>
      </c>
      <c r="T40" s="88">
        <v>1</v>
      </c>
      <c r="U40" s="87">
        <f t="shared" si="24"/>
        <v>1.7373042720370624E-3</v>
      </c>
      <c r="V40" s="89" t="s">
        <v>58</v>
      </c>
      <c r="W40" s="90">
        <f>U40*11.43*(1+(W$33*9.4))</f>
        <v>1.8508559681850237E-2</v>
      </c>
      <c r="X40" s="6"/>
      <c r="Y40" s="35" t="s">
        <v>31</v>
      </c>
      <c r="Z40" s="45">
        <f t="shared" si="25"/>
        <v>7.0000000000000007E-2</v>
      </c>
      <c r="AA40" s="45">
        <f t="shared" si="26"/>
        <v>7.0021006301890579E-2</v>
      </c>
      <c r="AB40" s="88">
        <v>1</v>
      </c>
      <c r="AC40" s="46">
        <f t="shared" si="27"/>
        <v>1.7373042720370624E-3</v>
      </c>
      <c r="AD40" s="46">
        <f t="shared" si="28"/>
        <v>1.0025786054161112E-3</v>
      </c>
      <c r="AE40" s="91"/>
      <c r="AF40" s="46"/>
      <c r="AG40" s="92" t="s">
        <v>59</v>
      </c>
      <c r="AH40" s="93">
        <f>((AH39/(1-(AD34/AF34)))*((10000/(K49+273.15))-1.5))-6.4</f>
        <v>32.74523163633463</v>
      </c>
    </row>
    <row r="41" spans="1:55" ht="11.25" x14ac:dyDescent="0.15">
      <c r="A41" s="2"/>
      <c r="B41" s="2"/>
      <c r="C41" s="2"/>
      <c r="D41" s="2"/>
      <c r="E41" s="2"/>
      <c r="F41" s="2"/>
      <c r="G41" s="2"/>
      <c r="H41" s="154" t="s">
        <v>176</v>
      </c>
      <c r="I41" s="91"/>
      <c r="J41" s="91"/>
      <c r="K41" s="100">
        <f>100*AI30</f>
        <v>38.378864200440269</v>
      </c>
      <c r="L41" s="100"/>
      <c r="M41" s="101">
        <f t="shared" si="29"/>
        <v>38.378864200440269</v>
      </c>
      <c r="N41" s="102"/>
      <c r="O41" s="99"/>
      <c r="P41" s="35" t="s">
        <v>32</v>
      </c>
      <c r="Q41" s="86">
        <f t="shared" si="21"/>
        <v>0.08</v>
      </c>
      <c r="R41" s="86">
        <f t="shared" si="22"/>
        <v>8.0024007202160657E-2</v>
      </c>
      <c r="S41" s="87">
        <f t="shared" si="23"/>
        <v>1.4269768792490765E-3</v>
      </c>
      <c r="T41" s="88">
        <v>1</v>
      </c>
      <c r="U41" s="87">
        <f t="shared" si="24"/>
        <v>1.4269768792490765E-3</v>
      </c>
      <c r="V41" s="89" t="s">
        <v>60</v>
      </c>
      <c r="W41" s="90">
        <f>U41*16.32*(1+(W$33*38.4))</f>
        <v>1.6826143480804114E-2</v>
      </c>
      <c r="X41" s="6"/>
      <c r="Y41" s="35" t="s">
        <v>32</v>
      </c>
      <c r="Z41" s="45">
        <f t="shared" si="25"/>
        <v>0.08</v>
      </c>
      <c r="AA41" s="45">
        <f t="shared" si="26"/>
        <v>8.0024007202160657E-2</v>
      </c>
      <c r="AB41" s="88">
        <v>1</v>
      </c>
      <c r="AC41" s="46">
        <f t="shared" si="27"/>
        <v>1.4269768792490765E-3</v>
      </c>
      <c r="AD41" s="46">
        <f t="shared" si="28"/>
        <v>8.2349218417627481E-4</v>
      </c>
      <c r="AE41" s="91"/>
      <c r="AF41" s="46"/>
      <c r="AG41" s="92"/>
      <c r="AH41" s="93"/>
    </row>
    <row r="42" spans="1:55" ht="12" x14ac:dyDescent="0.2">
      <c r="A42" s="2"/>
      <c r="B42" s="2"/>
      <c r="C42" s="2"/>
      <c r="D42" s="2"/>
      <c r="E42" s="2"/>
      <c r="F42" s="2"/>
      <c r="G42" s="2"/>
      <c r="H42" s="154" t="s">
        <v>110</v>
      </c>
      <c r="I42" s="91"/>
      <c r="J42" s="91"/>
      <c r="K42" s="100">
        <f>IF(R12&gt;0,100*R12/(R12+(R13*2)),0)</f>
        <v>4.1540717462075829</v>
      </c>
      <c r="L42" s="100"/>
      <c r="M42" s="101">
        <f t="shared" si="29"/>
        <v>4.1540717462075829</v>
      </c>
      <c r="N42" s="102"/>
      <c r="O42" s="99"/>
      <c r="P42" s="35" t="s">
        <v>152</v>
      </c>
      <c r="Q42" s="86">
        <f t="shared" si="21"/>
        <v>1.02</v>
      </c>
      <c r="R42" s="86">
        <f t="shared" si="22"/>
        <v>1.0203060918275484</v>
      </c>
      <c r="S42" s="87">
        <f t="shared" si="23"/>
        <v>1.6462152310343495E-2</v>
      </c>
      <c r="T42" s="88">
        <v>2</v>
      </c>
      <c r="U42" s="87">
        <f t="shared" si="24"/>
        <v>3.2924304620686989E-2</v>
      </c>
      <c r="V42" s="89" t="s">
        <v>61</v>
      </c>
      <c r="W42" s="90">
        <f>U42*14.39*(1+(W$33*23.5))</f>
        <v>0.39332595154326311</v>
      </c>
      <c r="X42" s="6"/>
      <c r="Y42" s="35" t="s">
        <v>152</v>
      </c>
      <c r="Z42" s="45">
        <f t="shared" si="25"/>
        <v>1.02</v>
      </c>
      <c r="AA42" s="45">
        <f t="shared" si="26"/>
        <v>1.0203060918275484</v>
      </c>
      <c r="AB42" s="88">
        <v>2</v>
      </c>
      <c r="AC42" s="46">
        <f t="shared" si="27"/>
        <v>3.2924304620686989E-2</v>
      </c>
      <c r="AD42" s="46">
        <f t="shared" si="28"/>
        <v>1.9000243044471943E-2</v>
      </c>
      <c r="AE42" s="91" t="s">
        <v>62</v>
      </c>
      <c r="AF42" s="46">
        <f>AD42+AD43</f>
        <v>7.4645255060257987E-2</v>
      </c>
      <c r="AG42" s="92"/>
      <c r="AH42" s="93"/>
    </row>
    <row r="43" spans="1:55" ht="12" x14ac:dyDescent="0.2">
      <c r="A43" s="2"/>
      <c r="B43" s="2"/>
      <c r="C43" s="2"/>
      <c r="D43" s="2"/>
      <c r="E43" s="2"/>
      <c r="F43" s="2"/>
      <c r="G43" s="2"/>
      <c r="H43" s="154" t="s">
        <v>178</v>
      </c>
      <c r="I43" s="6"/>
      <c r="J43" s="91"/>
      <c r="K43" s="103">
        <f>IF(AP27&gt;0,100*AP27,"zero")</f>
        <v>2.8251854435216677</v>
      </c>
      <c r="L43" s="103"/>
      <c r="M43" s="104">
        <f t="shared" si="29"/>
        <v>2.8251854435216677</v>
      </c>
      <c r="N43" s="102"/>
      <c r="O43" s="99"/>
      <c r="P43" s="35" t="s">
        <v>153</v>
      </c>
      <c r="Q43" s="105">
        <f t="shared" si="21"/>
        <v>4.54</v>
      </c>
      <c r="R43" s="105">
        <f t="shared" si="22"/>
        <v>4.5413624087226179</v>
      </c>
      <c r="S43" s="106">
        <f t="shared" si="23"/>
        <v>4.8211839236513419E-2</v>
      </c>
      <c r="T43" s="107">
        <v>2</v>
      </c>
      <c r="U43" s="106">
        <f t="shared" si="24"/>
        <v>9.6423678473026839E-2</v>
      </c>
      <c r="V43" s="108" t="s">
        <v>63</v>
      </c>
      <c r="W43" s="109">
        <f>U43*22.965*(1+(W$33*24.9))</f>
        <v>1.8159360059505314</v>
      </c>
      <c r="X43" s="6"/>
      <c r="Y43" s="35" t="s">
        <v>153</v>
      </c>
      <c r="Z43" s="45">
        <f t="shared" si="25"/>
        <v>4.54</v>
      </c>
      <c r="AA43" s="45">
        <f t="shared" si="26"/>
        <v>4.5413624087226179</v>
      </c>
      <c r="AB43" s="88">
        <v>2</v>
      </c>
      <c r="AC43" s="46">
        <f t="shared" si="27"/>
        <v>9.6423678473026839E-2</v>
      </c>
      <c r="AD43" s="46">
        <f t="shared" si="28"/>
        <v>5.564501201578604E-2</v>
      </c>
      <c r="AE43" s="91"/>
      <c r="AF43" s="46"/>
      <c r="AG43" s="92"/>
      <c r="AH43" s="93"/>
    </row>
    <row r="44" spans="1:55" ht="12" x14ac:dyDescent="0.2">
      <c r="A44" s="2"/>
      <c r="B44" s="2"/>
      <c r="C44" s="2"/>
      <c r="D44" s="2"/>
      <c r="E44" s="2"/>
      <c r="F44" s="2"/>
      <c r="G44" s="2"/>
      <c r="H44" s="155" t="s">
        <v>111</v>
      </c>
      <c r="I44" s="85"/>
      <c r="J44" s="110"/>
      <c r="K44" s="111">
        <f>SUM(K6,K7,K8:K11)</f>
        <v>91.27</v>
      </c>
      <c r="L44" s="111"/>
      <c r="M44" s="112">
        <f>SUM(M6,M7,M8:M11)</f>
        <v>94.32</v>
      </c>
      <c r="N44" s="102"/>
      <c r="O44" s="99"/>
      <c r="P44" s="68" t="s">
        <v>127</v>
      </c>
      <c r="Q44" s="69">
        <f>SUM(Q34:Q43)</f>
        <v>99.969999999999985</v>
      </c>
      <c r="R44" s="69">
        <f>SUM(R34:R43)</f>
        <v>100</v>
      </c>
      <c r="S44" s="7"/>
      <c r="T44" s="7"/>
      <c r="U44" s="7"/>
      <c r="V44" s="7"/>
      <c r="W44" s="109">
        <f>100/SUM(W34:W43)</f>
        <v>2.3533721287267921</v>
      </c>
      <c r="X44" s="6"/>
      <c r="Y44" s="35" t="s">
        <v>154</v>
      </c>
      <c r="Z44" s="6">
        <v>0</v>
      </c>
      <c r="AA44" s="45">
        <f t="shared" si="26"/>
        <v>0</v>
      </c>
      <c r="AB44" s="6">
        <v>2</v>
      </c>
      <c r="AC44" s="6">
        <f t="shared" si="27"/>
        <v>0</v>
      </c>
      <c r="AD44" s="46">
        <f t="shared" si="28"/>
        <v>0</v>
      </c>
      <c r="AE44" s="6"/>
      <c r="AF44" s="46"/>
      <c r="AG44" s="46"/>
      <c r="AH44" s="93"/>
    </row>
    <row r="45" spans="1:55" x14ac:dyDescent="0.15">
      <c r="A45" s="2"/>
      <c r="B45" s="2"/>
      <c r="C45" s="2"/>
      <c r="D45" s="2"/>
      <c r="E45" s="2"/>
      <c r="F45" s="2"/>
      <c r="G45" s="2"/>
      <c r="H45" s="156" t="s">
        <v>179</v>
      </c>
      <c r="I45" s="7"/>
      <c r="J45" s="22"/>
      <c r="K45" s="76">
        <f>M45</f>
        <v>2.7075170561087774</v>
      </c>
      <c r="L45" s="113"/>
      <c r="M45" s="94">
        <f>BB38</f>
        <v>2.7075170561087774</v>
      </c>
      <c r="N45" s="7"/>
      <c r="O45" s="2"/>
      <c r="P45" s="79"/>
      <c r="Y45" s="37" t="s">
        <v>68</v>
      </c>
      <c r="Z45" s="69">
        <f>SUM(Z34:Z44)</f>
        <v>99.969999999999985</v>
      </c>
      <c r="AA45" s="69">
        <f>SUM(AA34:AA44)</f>
        <v>100</v>
      </c>
      <c r="AB45" s="7"/>
      <c r="AC45" s="70">
        <f>SUM(AC34:AC44)</f>
        <v>1.732835971814908</v>
      </c>
      <c r="AD45" s="70">
        <f>SUM(AD34:AD44)</f>
        <v>1</v>
      </c>
      <c r="AE45" s="22"/>
      <c r="AF45" s="7"/>
      <c r="AG45" s="22" t="s">
        <v>64</v>
      </c>
      <c r="AH45" s="114">
        <f>(AH40/2.303)</f>
        <v>14.218511348820943</v>
      </c>
    </row>
    <row r="46" spans="1:55" ht="10.5" customHeight="1" x14ac:dyDescent="0.15">
      <c r="A46" s="2"/>
      <c r="B46" s="2"/>
      <c r="C46" s="2"/>
      <c r="D46" s="2"/>
      <c r="E46" s="2"/>
      <c r="F46" s="2"/>
      <c r="G46" s="2"/>
      <c r="H46" s="153" t="s">
        <v>180</v>
      </c>
      <c r="I46" s="115"/>
      <c r="J46" s="95"/>
      <c r="K46" s="33">
        <f>W44</f>
        <v>2.3533721287267921</v>
      </c>
      <c r="L46" s="116"/>
      <c r="M46" s="34">
        <f>K46</f>
        <v>2.3533721287267921</v>
      </c>
      <c r="N46" s="117"/>
      <c r="O46" s="10"/>
      <c r="P46" s="165" t="s">
        <v>194</v>
      </c>
      <c r="Q46" s="165"/>
      <c r="R46" s="165"/>
      <c r="S46" s="165"/>
    </row>
    <row r="47" spans="1:55" x14ac:dyDescent="0.15">
      <c r="A47" s="2"/>
      <c r="B47" s="2"/>
      <c r="C47" s="2"/>
      <c r="D47" s="2"/>
      <c r="E47" s="2"/>
      <c r="F47" s="2"/>
      <c r="G47" s="2"/>
      <c r="H47" s="157" t="s">
        <v>181</v>
      </c>
      <c r="I47" s="119"/>
      <c r="J47" s="119"/>
      <c r="K47" s="100">
        <f>AH45</f>
        <v>14.218511348820943</v>
      </c>
      <c r="L47" s="120"/>
      <c r="M47" s="101">
        <f>K47</f>
        <v>14.218511348820943</v>
      </c>
      <c r="O47" s="10"/>
      <c r="P47" s="165"/>
      <c r="Q47" s="165"/>
      <c r="R47" s="165"/>
      <c r="S47" s="165"/>
    </row>
    <row r="48" spans="1:55" x14ac:dyDescent="0.15">
      <c r="A48" s="2"/>
      <c r="B48" s="2"/>
      <c r="C48" s="2"/>
      <c r="D48" s="2"/>
      <c r="E48" s="2"/>
      <c r="F48" s="2"/>
      <c r="G48" s="2"/>
      <c r="H48" s="156" t="s">
        <v>182</v>
      </c>
      <c r="I48" s="7"/>
      <c r="J48" s="7"/>
      <c r="K48" s="121">
        <f>AK62</f>
        <v>9.0281702754156843</v>
      </c>
      <c r="L48" s="113"/>
      <c r="M48" s="122">
        <f>K48</f>
        <v>9.0281702754156843</v>
      </c>
      <c r="O48" s="10"/>
      <c r="P48" s="164" t="s">
        <v>185</v>
      </c>
      <c r="Q48" s="23">
        <f>B6*(100/B$27)</f>
        <v>79.241231209735147</v>
      </c>
      <c r="R48" s="1" t="s">
        <v>26</v>
      </c>
      <c r="Y48" s="3" t="s">
        <v>141</v>
      </c>
    </row>
    <row r="49" spans="1:37" x14ac:dyDescent="0.15">
      <c r="A49" s="2"/>
      <c r="B49" s="2"/>
      <c r="C49" s="2"/>
      <c r="D49" s="2"/>
      <c r="E49" s="2"/>
      <c r="F49" s="2"/>
      <c r="G49" s="2"/>
      <c r="H49" s="158" t="s">
        <v>183</v>
      </c>
      <c r="I49" s="123"/>
      <c r="J49" s="123"/>
      <c r="K49" s="124">
        <f>(-18.33*(H6*(100/H27)))+2130</f>
        <v>677.38553855385544</v>
      </c>
      <c r="L49" s="120"/>
      <c r="M49" s="125">
        <f>K49</f>
        <v>677.38553855385544</v>
      </c>
      <c r="O49" s="2"/>
      <c r="P49" s="164" t="s">
        <v>186</v>
      </c>
      <c r="Q49" s="23">
        <f t="shared" ref="Q49:Q68" si="30">B7*(100/B$27)</f>
        <v>0.15338991716944475</v>
      </c>
      <c r="R49" s="1" t="s">
        <v>26</v>
      </c>
      <c r="Y49" s="84"/>
      <c r="Z49" s="81" t="s">
        <v>130</v>
      </c>
      <c r="AA49" s="85"/>
      <c r="AB49" s="85"/>
      <c r="AC49" s="85"/>
      <c r="AD49" s="81" t="s">
        <v>131</v>
      </c>
      <c r="AE49" s="81" t="s">
        <v>142</v>
      </c>
      <c r="AF49" s="85" t="s">
        <v>134</v>
      </c>
      <c r="AG49" s="85" t="s">
        <v>143</v>
      </c>
      <c r="AH49" s="85" t="s">
        <v>139</v>
      </c>
      <c r="AI49" s="85"/>
      <c r="AJ49" s="85" t="s">
        <v>140</v>
      </c>
      <c r="AK49" s="83"/>
    </row>
    <row r="50" spans="1:37" ht="12" x14ac:dyDescent="0.2">
      <c r="A50" s="2"/>
      <c r="B50" s="2"/>
      <c r="C50" s="2"/>
      <c r="D50" s="2"/>
      <c r="E50" s="2"/>
      <c r="F50" s="2"/>
      <c r="G50" s="2"/>
      <c r="H50" s="156" t="s">
        <v>184</v>
      </c>
      <c r="I50" s="7"/>
      <c r="J50" s="22"/>
      <c r="K50" s="76">
        <f>AD61</f>
        <v>5.1962504177965343</v>
      </c>
      <c r="L50" s="113"/>
      <c r="M50" s="94">
        <f>K50</f>
        <v>5.1962504177965343</v>
      </c>
      <c r="O50" s="2"/>
      <c r="P50" s="164" t="s">
        <v>187</v>
      </c>
      <c r="Q50" s="23">
        <f t="shared" si="30"/>
        <v>12.935883014623174</v>
      </c>
      <c r="R50" s="1" t="s">
        <v>26</v>
      </c>
      <c r="Y50" s="25" t="s">
        <v>148</v>
      </c>
      <c r="Z50" s="45">
        <f t="shared" ref="Z50:Z60" si="31">H6</f>
        <v>79.239999999999995</v>
      </c>
      <c r="AA50" s="45">
        <f t="shared" ref="AA50:AD60" si="32">Z50*(100/Z$62)</f>
        <v>74.619446584026562</v>
      </c>
      <c r="AB50" s="45">
        <f t="shared" si="32"/>
        <v>75.202683487431614</v>
      </c>
      <c r="AC50" s="45">
        <f t="shared" si="32"/>
        <v>75.120169715824872</v>
      </c>
      <c r="AD50" s="45">
        <f t="shared" si="32"/>
        <v>75.13170929710013</v>
      </c>
      <c r="AE50" s="88">
        <v>1</v>
      </c>
      <c r="AF50" s="46">
        <f t="shared" ref="AF50:AF61" si="33">(AD50/Q5)*AE50</f>
        <v>1.2504382891554056</v>
      </c>
      <c r="AG50" s="46">
        <f t="shared" ref="AG50:AG61" si="34">AF50*(1/AC$45)</f>
        <v>0.72161376465756477</v>
      </c>
      <c r="AH50" s="91" t="s">
        <v>45</v>
      </c>
      <c r="AI50" s="46">
        <f>AG50+AG51+AG52+AI53+AG57+((AI58+AG61)/2)+AG61</f>
        <v>1.0146979560377773</v>
      </c>
      <c r="AJ50" s="92" t="s">
        <v>46</v>
      </c>
      <c r="AK50" s="93">
        <f>AG52*6.7</f>
        <v>0.93051859946885918</v>
      </c>
    </row>
    <row r="51" spans="1:37" s="118" customFormat="1" ht="12" customHeight="1" x14ac:dyDescent="0.2">
      <c r="P51" s="164" t="s">
        <v>188</v>
      </c>
      <c r="Q51" s="23">
        <f t="shared" si="30"/>
        <v>1.1044074036200022</v>
      </c>
      <c r="R51" s="1" t="s">
        <v>26</v>
      </c>
      <c r="Y51" s="35" t="s">
        <v>149</v>
      </c>
      <c r="Z51" s="127">
        <f t="shared" si="31"/>
        <v>0.15</v>
      </c>
      <c r="AA51" s="127">
        <f t="shared" si="32"/>
        <v>0.14125336935391197</v>
      </c>
      <c r="AB51" s="127">
        <f t="shared" si="32"/>
        <v>0.14235742709634958</v>
      </c>
      <c r="AC51" s="127">
        <f t="shared" si="32"/>
        <v>0.14220122990123332</v>
      </c>
      <c r="AD51" s="127">
        <f t="shared" si="32"/>
        <v>0.14222307413635812</v>
      </c>
      <c r="AE51" s="128">
        <v>1</v>
      </c>
      <c r="AF51" s="129">
        <f t="shared" si="33"/>
        <v>1.780040177529051E-3</v>
      </c>
      <c r="AG51" s="129">
        <f t="shared" si="34"/>
        <v>1.0272410121222859E-3</v>
      </c>
      <c r="AH51" s="130"/>
      <c r="AI51" s="129"/>
      <c r="AJ51" s="131" t="s">
        <v>48</v>
      </c>
      <c r="AK51" s="132">
        <f>AI53*3.4</f>
        <v>5.0355658979072376E-2</v>
      </c>
    </row>
    <row r="52" spans="1:37" ht="12" x14ac:dyDescent="0.2">
      <c r="A52" s="281" t="s">
        <v>263</v>
      </c>
      <c r="B52" s="281"/>
      <c r="C52" s="281"/>
      <c r="D52" s="281"/>
      <c r="E52" s="281"/>
      <c r="F52" s="281"/>
      <c r="G52" s="281"/>
      <c r="H52" s="281"/>
      <c r="I52" s="281"/>
      <c r="J52" s="281"/>
      <c r="P52" s="164" t="s">
        <v>28</v>
      </c>
      <c r="Q52" s="23">
        <f t="shared" si="30"/>
        <v>0.81807955823703871</v>
      </c>
      <c r="R52" s="118" t="s">
        <v>26</v>
      </c>
      <c r="Y52" s="35" t="s">
        <v>150</v>
      </c>
      <c r="Z52" s="45">
        <f t="shared" si="31"/>
        <v>12.94</v>
      </c>
      <c r="AA52" s="45">
        <f t="shared" si="32"/>
        <v>12.185457329597474</v>
      </c>
      <c r="AB52" s="45">
        <f t="shared" si="32"/>
        <v>12.280700710845093</v>
      </c>
      <c r="AC52" s="45">
        <f t="shared" si="32"/>
        <v>12.26722609947973</v>
      </c>
      <c r="AD52" s="45">
        <f t="shared" si="32"/>
        <v>12.269110528829829</v>
      </c>
      <c r="AE52" s="88">
        <v>2</v>
      </c>
      <c r="AF52" s="46">
        <f t="shared" si="33"/>
        <v>0.24066210471678626</v>
      </c>
      <c r="AG52" s="46">
        <f t="shared" si="34"/>
        <v>0.1388833730550536</v>
      </c>
      <c r="AH52" s="91"/>
      <c r="AI52" s="46"/>
      <c r="AJ52" s="92" t="s">
        <v>50</v>
      </c>
      <c r="AK52" s="93">
        <f>(AG51+AG57)*4.5</f>
        <v>8.1351181770650521E-3</v>
      </c>
    </row>
    <row r="53" spans="1:37" ht="12" x14ac:dyDescent="0.2">
      <c r="A53" s="280" t="s">
        <v>264</v>
      </c>
      <c r="B53" s="280"/>
      <c r="C53" s="280"/>
      <c r="D53" s="280"/>
      <c r="E53" s="280"/>
      <c r="F53" s="280" t="s">
        <v>265</v>
      </c>
      <c r="G53" s="280"/>
      <c r="H53" s="280"/>
      <c r="I53" s="280"/>
      <c r="J53" s="280"/>
      <c r="P53" s="164" t="s">
        <v>30</v>
      </c>
      <c r="Q53" s="23">
        <f t="shared" si="30"/>
        <v>1.0225994477962984E-2</v>
      </c>
      <c r="R53" s="1" t="s">
        <v>26</v>
      </c>
      <c r="Y53" s="35" t="s">
        <v>151</v>
      </c>
      <c r="Z53" s="45">
        <f t="shared" si="31"/>
        <v>1.1000000000000001</v>
      </c>
      <c r="AA53" s="45">
        <f t="shared" si="32"/>
        <v>1.035858041928688</v>
      </c>
      <c r="AB53" s="45">
        <f t="shared" si="32"/>
        <v>1.0439544653732304</v>
      </c>
      <c r="AC53" s="45">
        <f t="shared" si="32"/>
        <v>1.0428090192757113</v>
      </c>
      <c r="AD53" s="45">
        <f t="shared" si="32"/>
        <v>1.0429692103332933</v>
      </c>
      <c r="AE53" s="88">
        <v>2</v>
      </c>
      <c r="AF53" s="46">
        <f t="shared" si="33"/>
        <v>1.3062243620330776E-2</v>
      </c>
      <c r="AG53" s="46">
        <f t="shared" si="34"/>
        <v>7.5380727505615355E-3</v>
      </c>
      <c r="AH53" s="91" t="s">
        <v>52</v>
      </c>
      <c r="AI53" s="46">
        <f>AG53+AG54+AG55+AG56</f>
        <v>1.4810487935021288E-2</v>
      </c>
      <c r="AJ53" s="92" t="s">
        <v>53</v>
      </c>
      <c r="AK53" s="93">
        <f>AI58*1.4</f>
        <v>9.9055532436645138E-2</v>
      </c>
    </row>
    <row r="54" spans="1:37" x14ac:dyDescent="0.15">
      <c r="A54" s="282" t="s">
        <v>269</v>
      </c>
      <c r="B54" s="282"/>
      <c r="C54" s="282"/>
      <c r="D54" s="282"/>
      <c r="E54" s="282"/>
      <c r="F54" s="282" t="s">
        <v>270</v>
      </c>
      <c r="G54" s="282"/>
      <c r="H54" s="282"/>
      <c r="I54" s="282"/>
      <c r="J54" s="282"/>
      <c r="P54" s="164" t="s">
        <v>31</v>
      </c>
      <c r="Q54" s="23">
        <f t="shared" si="30"/>
        <v>7.1581961345740894E-2</v>
      </c>
      <c r="R54" s="1" t="s">
        <v>26</v>
      </c>
      <c r="Y54" s="35" t="s">
        <v>28</v>
      </c>
      <c r="Z54" s="45">
        <f t="shared" si="31"/>
        <v>0.82</v>
      </c>
      <c r="AA54" s="45">
        <f t="shared" si="32"/>
        <v>0.77218508580138545</v>
      </c>
      <c r="AB54" s="45">
        <f t="shared" si="32"/>
        <v>0.77822060146004446</v>
      </c>
      <c r="AC54" s="45">
        <f t="shared" si="32"/>
        <v>0.77736672346007563</v>
      </c>
      <c r="AD54" s="45">
        <f t="shared" si="32"/>
        <v>0.77748613861209115</v>
      </c>
      <c r="AE54" s="88">
        <v>1</v>
      </c>
      <c r="AF54" s="46">
        <f t="shared" si="33"/>
        <v>1.082150446803307E-2</v>
      </c>
      <c r="AG54" s="46">
        <f t="shared" si="34"/>
        <v>6.2449675814953377E-3</v>
      </c>
      <c r="AH54" s="91"/>
      <c r="AI54" s="46"/>
      <c r="AJ54" s="92" t="s">
        <v>65</v>
      </c>
      <c r="AK54" s="93">
        <f>AG61*2</f>
        <v>0.13627406730741284</v>
      </c>
    </row>
    <row r="55" spans="1:37" x14ac:dyDescent="0.15">
      <c r="A55" s="282" t="s">
        <v>266</v>
      </c>
      <c r="B55" s="282"/>
      <c r="C55" s="282"/>
      <c r="D55" s="282"/>
      <c r="E55" s="282"/>
      <c r="F55" s="282" t="s">
        <v>271</v>
      </c>
      <c r="G55" s="282"/>
      <c r="H55" s="282"/>
      <c r="I55" s="282"/>
      <c r="J55" s="282"/>
      <c r="P55" s="164" t="s">
        <v>32</v>
      </c>
      <c r="Q55" s="23">
        <f t="shared" si="30"/>
        <v>8.1807955823703871E-2</v>
      </c>
      <c r="R55" s="1" t="s">
        <v>26</v>
      </c>
      <c r="Y55" s="35" t="s">
        <v>30</v>
      </c>
      <c r="Z55" s="45">
        <f t="shared" si="31"/>
        <v>0.01</v>
      </c>
      <c r="AA55" s="45">
        <f t="shared" si="32"/>
        <v>9.4168912902607999E-3</v>
      </c>
      <c r="AB55" s="45">
        <f t="shared" si="32"/>
        <v>9.4904951397566401E-3</v>
      </c>
      <c r="AC55" s="45">
        <f t="shared" si="32"/>
        <v>9.480081993415556E-3</v>
      </c>
      <c r="AD55" s="45">
        <f t="shared" si="32"/>
        <v>9.4815382757572082E-3</v>
      </c>
      <c r="AE55" s="88">
        <v>1</v>
      </c>
      <c r="AF55" s="46">
        <f t="shared" si="33"/>
        <v>1.3366063988470411E-4</v>
      </c>
      <c r="AG55" s="46">
        <f t="shared" si="34"/>
        <v>7.7134040416250652E-5</v>
      </c>
      <c r="AH55" s="91"/>
      <c r="AI55" s="46"/>
      <c r="AJ55" s="92" t="s">
        <v>57</v>
      </c>
      <c r="AK55" s="93">
        <f>(AK50+AK51+AK52+AK53+AK54)*(AG50/AI50)</f>
        <v>0.87070231362698225</v>
      </c>
    </row>
    <row r="56" spans="1:37" x14ac:dyDescent="0.15">
      <c r="A56" s="282" t="s">
        <v>267</v>
      </c>
      <c r="B56" s="282"/>
      <c r="C56" s="282"/>
      <c r="D56" s="282"/>
      <c r="E56" s="282"/>
      <c r="F56" s="282" t="s">
        <v>272</v>
      </c>
      <c r="G56" s="282"/>
      <c r="H56" s="282"/>
      <c r="I56" s="282"/>
      <c r="J56" s="282"/>
      <c r="P56" s="164" t="s">
        <v>189</v>
      </c>
      <c r="Q56" s="23">
        <f t="shared" si="30"/>
        <v>1.0225994477962983</v>
      </c>
      <c r="R56" s="1" t="s">
        <v>26</v>
      </c>
      <c r="Y56" s="35" t="s">
        <v>31</v>
      </c>
      <c r="Z56" s="45">
        <f t="shared" si="31"/>
        <v>7.0000000000000007E-2</v>
      </c>
      <c r="AA56" s="45">
        <f t="shared" si="32"/>
        <v>6.5918239031825601E-2</v>
      </c>
      <c r="AB56" s="45">
        <f t="shared" si="32"/>
        <v>6.6433465978296483E-2</v>
      </c>
      <c r="AC56" s="45">
        <f t="shared" si="32"/>
        <v>6.6360573953908902E-2</v>
      </c>
      <c r="AD56" s="45">
        <f t="shared" si="32"/>
        <v>6.6370767930300473E-2</v>
      </c>
      <c r="AE56" s="88">
        <v>1</v>
      </c>
      <c r="AF56" s="46">
        <f t="shared" si="33"/>
        <v>1.6467375256870335E-3</v>
      </c>
      <c r="AG56" s="46">
        <f t="shared" si="34"/>
        <v>9.5031356254816305E-4</v>
      </c>
      <c r="AH56" s="91"/>
      <c r="AI56" s="46"/>
      <c r="AJ56" s="92" t="s">
        <v>59</v>
      </c>
      <c r="AK56" s="93">
        <f>((AK55/(1-(AG50/AI50)))*((10000/(K49+273.15))-1.5))-6.4</f>
        <v>20.79187614428232</v>
      </c>
    </row>
    <row r="57" spans="1:37" x14ac:dyDescent="0.15">
      <c r="A57" s="282" t="s">
        <v>268</v>
      </c>
      <c r="B57" s="282"/>
      <c r="C57" s="282"/>
      <c r="D57" s="282"/>
      <c r="E57" s="282"/>
      <c r="F57" s="282" t="s">
        <v>273</v>
      </c>
      <c r="G57" s="282"/>
      <c r="H57" s="282"/>
      <c r="I57" s="282"/>
      <c r="J57" s="282"/>
      <c r="P57" s="164" t="s">
        <v>190</v>
      </c>
      <c r="Q57" s="23">
        <f t="shared" si="30"/>
        <v>4.5403415482155651</v>
      </c>
      <c r="R57" s="1" t="s">
        <v>26</v>
      </c>
      <c r="Y57" s="35" t="s">
        <v>32</v>
      </c>
      <c r="Z57" s="45">
        <f t="shared" si="31"/>
        <v>0.08</v>
      </c>
      <c r="AA57" s="45">
        <f t="shared" si="32"/>
        <v>7.5335130322086399E-2</v>
      </c>
      <c r="AB57" s="45">
        <f t="shared" si="32"/>
        <v>7.5923961118053121E-2</v>
      </c>
      <c r="AC57" s="45">
        <f t="shared" si="32"/>
        <v>7.5840655947324448E-2</v>
      </c>
      <c r="AD57" s="45">
        <f t="shared" si="32"/>
        <v>7.5852306206057665E-2</v>
      </c>
      <c r="AE57" s="88">
        <v>1</v>
      </c>
      <c r="AF57" s="46">
        <f t="shared" si="33"/>
        <v>1.3525876918450922E-3</v>
      </c>
      <c r="AG57" s="46">
        <f t="shared" si="34"/>
        <v>7.805630272255036E-4</v>
      </c>
      <c r="AH57" s="91"/>
      <c r="AI57" s="46"/>
      <c r="AJ57" s="92"/>
      <c r="AK57" s="93"/>
    </row>
    <row r="58" spans="1:37" ht="12" x14ac:dyDescent="0.2">
      <c r="P58" s="164" t="s">
        <v>191</v>
      </c>
      <c r="Q58" s="23">
        <f t="shared" si="30"/>
        <v>2.0451988955925968E-2</v>
      </c>
      <c r="R58" s="1" t="s">
        <v>26</v>
      </c>
      <c r="Y58" s="35" t="s">
        <v>152</v>
      </c>
      <c r="Z58" s="45">
        <f t="shared" si="31"/>
        <v>1.02</v>
      </c>
      <c r="AA58" s="45">
        <f t="shared" si="32"/>
        <v>0.96052291160660153</v>
      </c>
      <c r="AB58" s="45">
        <f t="shared" si="32"/>
        <v>0.96803050425517734</v>
      </c>
      <c r="AC58" s="45">
        <f t="shared" si="32"/>
        <v>0.96696836332838676</v>
      </c>
      <c r="AD58" s="45">
        <f t="shared" si="32"/>
        <v>0.96711690412723539</v>
      </c>
      <c r="AE58" s="88">
        <v>2</v>
      </c>
      <c r="AF58" s="46">
        <f t="shared" si="33"/>
        <v>3.1207940254739448E-2</v>
      </c>
      <c r="AG58" s="46">
        <f t="shared" si="34"/>
        <v>1.8009748621534795E-2</v>
      </c>
      <c r="AH58" s="91" t="s">
        <v>62</v>
      </c>
      <c r="AI58" s="46">
        <f>AG58+AG59</f>
        <v>7.0753951740460813E-2</v>
      </c>
      <c r="AJ58" s="92"/>
      <c r="AK58" s="93"/>
    </row>
    <row r="59" spans="1:37" ht="12" x14ac:dyDescent="0.2">
      <c r="A59" s="126" t="s">
        <v>172</v>
      </c>
      <c r="B59" s="126"/>
      <c r="C59" s="126"/>
      <c r="D59" s="126"/>
      <c r="E59" s="126"/>
      <c r="F59" s="126"/>
      <c r="G59" s="126"/>
      <c r="H59" s="126"/>
      <c r="I59" s="126"/>
      <c r="J59" s="126"/>
      <c r="K59" s="126"/>
      <c r="L59" s="126"/>
      <c r="M59" s="126"/>
      <c r="N59" s="126"/>
      <c r="O59" s="126"/>
      <c r="P59" s="164" t="s">
        <v>192</v>
      </c>
      <c r="Q59" s="23">
        <f t="shared" si="30"/>
        <v>0</v>
      </c>
      <c r="R59" s="1" t="s">
        <v>26</v>
      </c>
      <c r="Y59" s="35" t="s">
        <v>153</v>
      </c>
      <c r="Z59" s="45">
        <f t="shared" si="31"/>
        <v>4.54</v>
      </c>
      <c r="AA59" s="45">
        <f t="shared" si="32"/>
        <v>4.2752686457784028</v>
      </c>
      <c r="AB59" s="45">
        <f t="shared" si="32"/>
        <v>4.3086847934495145</v>
      </c>
      <c r="AC59" s="45">
        <f t="shared" si="32"/>
        <v>4.3039572250106621</v>
      </c>
      <c r="AD59" s="45">
        <f t="shared" si="32"/>
        <v>4.3046183771937727</v>
      </c>
      <c r="AE59" s="88">
        <v>2</v>
      </c>
      <c r="AF59" s="46">
        <f t="shared" si="33"/>
        <v>9.1397052469187071E-2</v>
      </c>
      <c r="AG59" s="46">
        <f t="shared" si="34"/>
        <v>5.2744203118926018E-2</v>
      </c>
      <c r="AH59" s="91"/>
      <c r="AI59" s="46"/>
      <c r="AJ59" s="92"/>
      <c r="AK59" s="93"/>
    </row>
    <row r="60" spans="1:37" ht="12" x14ac:dyDescent="0.2">
      <c r="A60" s="126"/>
      <c r="B60" s="126"/>
      <c r="C60" s="126"/>
      <c r="D60" s="126"/>
      <c r="E60" s="126"/>
      <c r="F60" s="126"/>
      <c r="G60" s="126"/>
      <c r="H60" s="126"/>
      <c r="I60" s="126"/>
      <c r="J60" s="126"/>
      <c r="K60" s="126"/>
      <c r="L60" s="126"/>
      <c r="M60" s="126"/>
      <c r="N60" s="126"/>
      <c r="O60" s="126"/>
      <c r="P60" s="164" t="s">
        <v>193</v>
      </c>
      <c r="Q60" s="23">
        <f t="shared" si="30"/>
        <v>0</v>
      </c>
      <c r="R60" s="1" t="s">
        <v>26</v>
      </c>
      <c r="Y60" s="35" t="s">
        <v>154</v>
      </c>
      <c r="Z60" s="45">
        <f t="shared" si="31"/>
        <v>0.02</v>
      </c>
      <c r="AA60" s="45">
        <f t="shared" si="32"/>
        <v>1.88337825805216E-2</v>
      </c>
      <c r="AB60" s="45">
        <f t="shared" si="32"/>
        <v>1.898099027951328E-2</v>
      </c>
      <c r="AC60" s="45">
        <f t="shared" si="32"/>
        <v>1.8960163986831112E-2</v>
      </c>
      <c r="AD60" s="45">
        <f t="shared" si="32"/>
        <v>1.8963076551514416E-2</v>
      </c>
      <c r="AE60" s="6">
        <v>2</v>
      </c>
      <c r="AF60" s="46">
        <f t="shared" si="33"/>
        <v>2.6719001513287824E-4</v>
      </c>
      <c r="AG60" s="46">
        <f t="shared" si="34"/>
        <v>1.5419232949846564E-4</v>
      </c>
      <c r="AH60" s="6"/>
      <c r="AI60" s="46"/>
      <c r="AJ60" s="46"/>
      <c r="AK60" s="93"/>
    </row>
    <row r="61" spans="1:37" ht="12" x14ac:dyDescent="0.2">
      <c r="P61" s="164" t="s">
        <v>33</v>
      </c>
      <c r="Q61" s="23">
        <f t="shared" si="30"/>
        <v>0</v>
      </c>
      <c r="R61" s="1" t="s">
        <v>26</v>
      </c>
      <c r="Y61" s="68" t="s">
        <v>157</v>
      </c>
      <c r="Z61" s="69">
        <f>-17.437+1.5627*Z50-0.050115*Z50^2+0.000671731*Z50^3-0.000003037*Z50^4</f>
        <v>6.202157175503018</v>
      </c>
      <c r="AA61" s="69">
        <f>-17.437+1.5627*AA50-0.050115*AA50^2+0.000671731*AA50^3-0.000003037*AA50^4</f>
        <v>5.0649506754783431</v>
      </c>
      <c r="AB61" s="69">
        <f>-17.437+1.5627*AB50-0.050115*AB50^2+0.000671731*AB50^3-0.000003037*AB50^4</f>
        <v>5.2143814633705716</v>
      </c>
      <c r="AC61" s="69">
        <f>-17.437+1.5627*AC50-0.050115*AC50^2+0.000671731*AC50^3-0.000003037*AC50^4</f>
        <v>5.1933010120172725</v>
      </c>
      <c r="AD61" s="69">
        <f>-17.437+1.5627*AD50-0.050115*AD50^2+0.000671731*AD50^3-0.000003037*AD50^4</f>
        <v>5.1962504177965343</v>
      </c>
      <c r="AE61" s="7">
        <v>1</v>
      </c>
      <c r="AF61" s="70">
        <f t="shared" si="33"/>
        <v>0.11807030292790548</v>
      </c>
      <c r="AG61" s="70">
        <f t="shared" si="34"/>
        <v>6.8137033653706422E-2</v>
      </c>
      <c r="AH61" s="22"/>
      <c r="AI61" s="70"/>
      <c r="AJ61" s="133"/>
      <c r="AK61" s="134"/>
    </row>
    <row r="62" spans="1:37" x14ac:dyDescent="0.15">
      <c r="P62" s="164" t="s">
        <v>34</v>
      </c>
      <c r="Q62" s="23">
        <f t="shared" si="30"/>
        <v>0</v>
      </c>
      <c r="R62" s="1" t="s">
        <v>26</v>
      </c>
      <c r="Y62" s="37" t="s">
        <v>68</v>
      </c>
      <c r="Z62" s="69">
        <f>SUM(Z50:Z61)</f>
        <v>106.192157175503</v>
      </c>
      <c r="AA62" s="69">
        <f>SUM(AA50:AA61)</f>
        <v>99.224446686796057</v>
      </c>
      <c r="AB62" s="69">
        <f>SUM(AB50:AB61)</f>
        <v>100.10984236579722</v>
      </c>
      <c r="AC62" s="69">
        <f>SUM(AC50:AC61)</f>
        <v>99.98464086417944</v>
      </c>
      <c r="AD62" s="69">
        <f>SUM(AD50:AD61)</f>
        <v>100.00215163709287</v>
      </c>
      <c r="AE62" s="7"/>
      <c r="AF62" s="70">
        <f>SUM(AF50:AF61)</f>
        <v>1.7608396536624664</v>
      </c>
      <c r="AG62" s="70">
        <f>SUM(AG50:AG61)</f>
        <v>1.0161606074106531</v>
      </c>
      <c r="AH62" s="22"/>
      <c r="AI62" s="7"/>
      <c r="AJ62" s="22" t="s">
        <v>64</v>
      </c>
      <c r="AK62" s="114">
        <f>(AK56/2.303)</f>
        <v>9.0281702754156843</v>
      </c>
    </row>
    <row r="63" spans="1:37" x14ac:dyDescent="0.15">
      <c r="P63" s="164" t="s">
        <v>35</v>
      </c>
      <c r="Q63" s="23">
        <f t="shared" si="30"/>
        <v>0</v>
      </c>
      <c r="R63" s="1" t="s">
        <v>26</v>
      </c>
      <c r="Y63" s="3"/>
      <c r="Z63" s="23"/>
    </row>
    <row r="64" spans="1:37" x14ac:dyDescent="0.15">
      <c r="P64" s="164" t="s">
        <v>36</v>
      </c>
      <c r="Q64" s="23">
        <f t="shared" si="30"/>
        <v>0</v>
      </c>
      <c r="R64" s="1" t="s">
        <v>26</v>
      </c>
    </row>
    <row r="65" spans="16:18" x14ac:dyDescent="0.15">
      <c r="P65" s="164" t="s">
        <v>38</v>
      </c>
      <c r="Q65" s="23">
        <f t="shared" si="30"/>
        <v>0</v>
      </c>
      <c r="R65" s="1" t="s">
        <v>26</v>
      </c>
    </row>
    <row r="66" spans="16:18" x14ac:dyDescent="0.15">
      <c r="P66" s="164" t="s">
        <v>39</v>
      </c>
      <c r="Q66" s="23">
        <f t="shared" si="30"/>
        <v>0</v>
      </c>
      <c r="R66" s="1" t="s">
        <v>26</v>
      </c>
    </row>
    <row r="67" spans="16:18" x14ac:dyDescent="0.15">
      <c r="P67" s="164" t="s">
        <v>40</v>
      </c>
      <c r="Q67" s="23">
        <f t="shared" si="30"/>
        <v>0</v>
      </c>
      <c r="R67" s="1" t="s">
        <v>26</v>
      </c>
    </row>
    <row r="68" spans="16:18" x14ac:dyDescent="0.15">
      <c r="P68" s="164" t="s">
        <v>41</v>
      </c>
      <c r="Q68" s="23">
        <f t="shared" si="30"/>
        <v>0</v>
      </c>
      <c r="R68" s="1" t="s">
        <v>26</v>
      </c>
    </row>
    <row r="69" spans="16:18" x14ac:dyDescent="0.15">
      <c r="P69" s="164" t="s">
        <v>144</v>
      </c>
      <c r="Q69" s="76">
        <f>SUM(Q48:Q63)</f>
        <v>100.00000000000001</v>
      </c>
    </row>
  </sheetData>
  <mergeCells count="29">
    <mergeCell ref="F53:J53"/>
    <mergeCell ref="F54:J54"/>
    <mergeCell ref="F55:J55"/>
    <mergeCell ref="F56:J56"/>
    <mergeCell ref="F57:J57"/>
    <mergeCell ref="H39:J39"/>
    <mergeCell ref="A59:O60"/>
    <mergeCell ref="P46:S47"/>
    <mergeCell ref="A52:J52"/>
    <mergeCell ref="A53:E53"/>
    <mergeCell ref="A54:E54"/>
    <mergeCell ref="A55:E55"/>
    <mergeCell ref="A56:E56"/>
    <mergeCell ref="A57:E57"/>
    <mergeCell ref="H4:H5"/>
    <mergeCell ref="J4:J5"/>
    <mergeCell ref="K4:K5"/>
    <mergeCell ref="M4:M5"/>
    <mergeCell ref="P32:R32"/>
    <mergeCell ref="H38:J38"/>
    <mergeCell ref="E21:F21"/>
    <mergeCell ref="E22:F22"/>
    <mergeCell ref="E20:F20"/>
    <mergeCell ref="A1:G1"/>
    <mergeCell ref="B2:C2"/>
    <mergeCell ref="F2:I2"/>
    <mergeCell ref="K2:M2"/>
    <mergeCell ref="B4:C5"/>
    <mergeCell ref="E4:E5"/>
  </mergeCells>
  <phoneticPr fontId="0" type="noConversion"/>
  <pageMargins left="0.75" right="0.75" top="1" bottom="1" header="0.5" footer="0.5"/>
  <pageSetup orientation="portrait" horizontalDpi="4294967292" verticalDpi="4294967292" r:id="rId1"/>
  <headerFooter alignWithMargins="0">
    <oddHeader>&amp;f</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30"/>
  <sheetViews>
    <sheetView showGridLines="0" workbookViewId="0">
      <selection activeCell="B30" sqref="B30"/>
    </sheetView>
  </sheetViews>
  <sheetFormatPr defaultRowHeight="12.75" x14ac:dyDescent="0.2"/>
  <cols>
    <col min="1" max="1" width="1.6640625" style="166" customWidth="1"/>
    <col min="2" max="3" width="9.33203125" style="166"/>
    <col min="4" max="4" width="7.6640625" style="166" bestFit="1" customWidth="1"/>
    <col min="5" max="5" width="13" style="166" bestFit="1" customWidth="1"/>
    <col min="6" max="6" width="19.1640625" style="166" bestFit="1" customWidth="1"/>
    <col min="7" max="8" width="9.33203125" style="166"/>
    <col min="9" max="9" width="12.83203125" style="166" customWidth="1"/>
    <col min="10" max="10" width="9.33203125" style="166"/>
    <col min="11" max="11" width="1.1640625" style="166" customWidth="1"/>
    <col min="12" max="16384" width="9.33203125" style="166"/>
  </cols>
  <sheetData>
    <row r="2" spans="2:11" x14ac:dyDescent="0.2">
      <c r="B2" s="247" t="s">
        <v>226</v>
      </c>
      <c r="C2" s="247"/>
      <c r="D2" s="247"/>
      <c r="E2" s="247"/>
      <c r="F2" s="247"/>
      <c r="G2" s="247"/>
      <c r="H2" s="247"/>
      <c r="I2" s="247"/>
      <c r="J2" s="247"/>
    </row>
    <row r="3" spans="2:11" x14ac:dyDescent="0.2">
      <c r="B3" s="167"/>
    </row>
    <row r="4" spans="2:11" ht="25.5" customHeight="1" x14ac:dyDescent="0.2">
      <c r="B4" s="249" t="s">
        <v>239</v>
      </c>
      <c r="C4" s="250"/>
      <c r="D4" s="250"/>
      <c r="E4" s="250"/>
      <c r="F4" s="250"/>
      <c r="G4" s="251"/>
      <c r="I4" s="231" t="s">
        <v>231</v>
      </c>
      <c r="J4" s="167" t="s">
        <v>215</v>
      </c>
    </row>
    <row r="5" spans="2:11" ht="14.25" x14ac:dyDescent="0.25">
      <c r="E5" s="169" t="s">
        <v>195</v>
      </c>
      <c r="F5" s="169" t="s">
        <v>216</v>
      </c>
      <c r="G5" s="170"/>
      <c r="H5" s="170"/>
      <c r="I5" s="171">
        <v>1200</v>
      </c>
      <c r="J5" s="232">
        <v>0.1</v>
      </c>
    </row>
    <row r="6" spans="2:11" ht="15" thickBot="1" x14ac:dyDescent="0.3">
      <c r="B6" s="172" t="s">
        <v>227</v>
      </c>
      <c r="C6" s="173" t="s">
        <v>126</v>
      </c>
      <c r="D6" s="173" t="s">
        <v>124</v>
      </c>
      <c r="E6" s="173" t="s">
        <v>229</v>
      </c>
      <c r="F6" s="173" t="s">
        <v>230</v>
      </c>
      <c r="G6" s="174" t="s">
        <v>217</v>
      </c>
      <c r="H6" s="174" t="s">
        <v>218</v>
      </c>
      <c r="I6" s="173" t="s">
        <v>232</v>
      </c>
      <c r="J6" s="173" t="s">
        <v>219</v>
      </c>
      <c r="K6" s="169"/>
    </row>
    <row r="7" spans="2:11" ht="15.75" x14ac:dyDescent="0.3">
      <c r="B7" s="175" t="s">
        <v>201</v>
      </c>
      <c r="C7" s="176">
        <v>49.2</v>
      </c>
      <c r="D7" s="233">
        <f>28.09+2*16</f>
        <v>60.09</v>
      </c>
      <c r="E7" s="234">
        <f>C7/D7</f>
        <v>0.81877184223664501</v>
      </c>
      <c r="F7" s="234">
        <v>26.9</v>
      </c>
      <c r="G7" s="234">
        <v>0</v>
      </c>
      <c r="H7" s="235">
        <v>-1.89</v>
      </c>
      <c r="I7" s="181">
        <f>F7+G7*0.001*($I$5-1400)+H7*0.001*($J$5-0.1)</f>
        <v>26.9</v>
      </c>
      <c r="J7" s="191">
        <f>E7*I7</f>
        <v>22.02496255616575</v>
      </c>
      <c r="K7" s="182"/>
    </row>
    <row r="8" spans="2:11" ht="15.75" x14ac:dyDescent="0.3">
      <c r="B8" s="175" t="s">
        <v>202</v>
      </c>
      <c r="C8" s="183">
        <v>2.0299999999999998</v>
      </c>
      <c r="D8" s="233">
        <v>79.88</v>
      </c>
      <c r="E8" s="234">
        <f>C8/D8</f>
        <v>2.5413119679519279E-2</v>
      </c>
      <c r="F8" s="234">
        <v>23.16</v>
      </c>
      <c r="G8" s="234">
        <v>7.24</v>
      </c>
      <c r="H8" s="235">
        <v>-2.31</v>
      </c>
      <c r="I8" s="181">
        <f t="shared" ref="I8:I18" si="0">F8+G8*0.001*($I$5-1400)+H8*0.001*($J$5-0.1)</f>
        <v>21.712</v>
      </c>
      <c r="J8" s="191">
        <f t="shared" ref="J8:J18" si="1">E8*I8</f>
        <v>0.55176965448172255</v>
      </c>
      <c r="K8" s="182"/>
    </row>
    <row r="9" spans="2:11" ht="15.75" x14ac:dyDescent="0.3">
      <c r="B9" s="175" t="s">
        <v>203</v>
      </c>
      <c r="C9" s="183">
        <v>16.100000000000001</v>
      </c>
      <c r="D9" s="233">
        <f>2*26.98+3*16</f>
        <v>101.96000000000001</v>
      </c>
      <c r="E9" s="234">
        <f>C9/D9</f>
        <v>0.15790506080816005</v>
      </c>
      <c r="F9" s="234">
        <v>37.11</v>
      </c>
      <c r="G9" s="234">
        <v>2.62</v>
      </c>
      <c r="H9" s="235">
        <v>-2.2599999999999998</v>
      </c>
      <c r="I9" s="181">
        <f t="shared" si="0"/>
        <v>36.585999999999999</v>
      </c>
      <c r="J9" s="191">
        <f t="shared" si="1"/>
        <v>5.7771145547273433</v>
      </c>
      <c r="K9" s="182"/>
    </row>
    <row r="10" spans="2:11" ht="15.75" x14ac:dyDescent="0.3">
      <c r="B10" s="175" t="s">
        <v>204</v>
      </c>
      <c r="C10" s="183">
        <v>2.72</v>
      </c>
      <c r="D10" s="233">
        <f>2*55.85+3*16</f>
        <v>159.69999999999999</v>
      </c>
      <c r="E10" s="234">
        <f>C10/D10</f>
        <v>1.7031934877896057E-2</v>
      </c>
      <c r="F10" s="234">
        <v>42.13</v>
      </c>
      <c r="G10" s="234">
        <v>9.09</v>
      </c>
      <c r="H10" s="235">
        <v>-2.5299999999999998</v>
      </c>
      <c r="I10" s="181">
        <f t="shared" si="0"/>
        <v>40.312000000000005</v>
      </c>
      <c r="J10" s="191">
        <f t="shared" si="1"/>
        <v>0.68659135879774591</v>
      </c>
      <c r="K10" s="182"/>
    </row>
    <row r="11" spans="2:11" x14ac:dyDescent="0.2">
      <c r="B11" s="175" t="s">
        <v>28</v>
      </c>
      <c r="C11" s="183">
        <v>7.77</v>
      </c>
      <c r="D11" s="233">
        <f>55.85+16</f>
        <v>71.849999999999994</v>
      </c>
      <c r="E11" s="234">
        <f>C11/D11+C12/D12</f>
        <v>0.11067931793341193</v>
      </c>
      <c r="F11" s="234">
        <v>13.65</v>
      </c>
      <c r="G11" s="234">
        <v>2.92</v>
      </c>
      <c r="H11" s="235">
        <v>-0.45</v>
      </c>
      <c r="I11" s="181">
        <f t="shared" si="0"/>
        <v>13.066000000000001</v>
      </c>
      <c r="J11" s="191">
        <f t="shared" si="1"/>
        <v>1.4461359681179604</v>
      </c>
      <c r="K11" s="182"/>
    </row>
    <row r="12" spans="2:11" x14ac:dyDescent="0.2">
      <c r="B12" s="175" t="s">
        <v>30</v>
      </c>
      <c r="C12" s="183">
        <v>0.18</v>
      </c>
      <c r="D12" s="233">
        <f>54.94+16</f>
        <v>70.94</v>
      </c>
      <c r="E12" s="234"/>
      <c r="F12" s="234"/>
      <c r="G12" s="234"/>
      <c r="H12" s="235"/>
      <c r="I12" s="181">
        <f t="shared" si="0"/>
        <v>0</v>
      </c>
      <c r="J12" s="191"/>
      <c r="K12" s="182"/>
    </row>
    <row r="13" spans="2:11" x14ac:dyDescent="0.2">
      <c r="B13" s="175" t="s">
        <v>31</v>
      </c>
      <c r="C13" s="183">
        <v>6.44</v>
      </c>
      <c r="D13" s="233">
        <f>24.305+16</f>
        <v>40.305</v>
      </c>
      <c r="E13" s="234">
        <f t="shared" ref="E13:E18" si="2">C13/D13</f>
        <v>0.15978166480585537</v>
      </c>
      <c r="F13" s="234">
        <v>11.45</v>
      </c>
      <c r="G13" s="234">
        <v>2.62</v>
      </c>
      <c r="H13" s="235">
        <v>0.27</v>
      </c>
      <c r="I13" s="181">
        <f t="shared" si="0"/>
        <v>10.925999999999998</v>
      </c>
      <c r="J13" s="191">
        <f t="shared" si="1"/>
        <v>1.7457744696687756</v>
      </c>
      <c r="K13" s="182"/>
    </row>
    <row r="14" spans="2:11" x14ac:dyDescent="0.2">
      <c r="B14" s="175" t="s">
        <v>32</v>
      </c>
      <c r="C14" s="183">
        <v>10.5</v>
      </c>
      <c r="D14" s="233">
        <f>40.08+16</f>
        <v>56.08</v>
      </c>
      <c r="E14" s="234">
        <f t="shared" si="2"/>
        <v>0.18723252496433668</v>
      </c>
      <c r="F14" s="234">
        <v>16.57</v>
      </c>
      <c r="G14" s="234">
        <v>2.92</v>
      </c>
      <c r="H14" s="235">
        <v>0.34</v>
      </c>
      <c r="I14" s="181">
        <f t="shared" si="0"/>
        <v>15.986000000000001</v>
      </c>
      <c r="J14" s="191">
        <f t="shared" si="1"/>
        <v>2.9930991440798862</v>
      </c>
      <c r="K14" s="182"/>
    </row>
    <row r="15" spans="2:11" ht="15.75" x14ac:dyDescent="0.3">
      <c r="B15" s="175" t="s">
        <v>205</v>
      </c>
      <c r="C15" s="183">
        <v>3.01</v>
      </c>
      <c r="D15" s="233">
        <f>2*22.99+16</f>
        <v>61.98</v>
      </c>
      <c r="E15" s="234">
        <f t="shared" si="2"/>
        <v>4.856405292029687E-2</v>
      </c>
      <c r="F15" s="234">
        <v>28.78</v>
      </c>
      <c r="G15" s="234">
        <v>7.41</v>
      </c>
      <c r="H15" s="235">
        <v>-2.4</v>
      </c>
      <c r="I15" s="181">
        <f t="shared" si="0"/>
        <v>27.298000000000002</v>
      </c>
      <c r="J15" s="191">
        <f t="shared" si="1"/>
        <v>1.325701516618264</v>
      </c>
      <c r="K15" s="182"/>
    </row>
    <row r="16" spans="2:11" ht="15.75" x14ac:dyDescent="0.3">
      <c r="B16" s="175" t="s">
        <v>206</v>
      </c>
      <c r="C16" s="183">
        <v>0.14000000000000001</v>
      </c>
      <c r="D16" s="233">
        <f>2*39.1+16</f>
        <v>94.2</v>
      </c>
      <c r="E16" s="234">
        <f t="shared" si="2"/>
        <v>1.48619957537155E-3</v>
      </c>
      <c r="F16" s="234">
        <v>45.84</v>
      </c>
      <c r="G16" s="234">
        <v>11.91</v>
      </c>
      <c r="H16" s="235">
        <v>-6.75</v>
      </c>
      <c r="I16" s="181">
        <f t="shared" si="0"/>
        <v>43.458000000000006</v>
      </c>
      <c r="J16" s="191">
        <f t="shared" si="1"/>
        <v>6.4587261146496822E-2</v>
      </c>
      <c r="K16" s="182"/>
    </row>
    <row r="17" spans="2:13" ht="15.75" x14ac:dyDescent="0.3">
      <c r="B17" s="175" t="s">
        <v>207</v>
      </c>
      <c r="C17" s="183">
        <v>0.23</v>
      </c>
      <c r="D17" s="233">
        <f>2*30.97+5*16</f>
        <v>141.94</v>
      </c>
      <c r="E17" s="234">
        <f t="shared" si="2"/>
        <v>1.6204029871776807E-3</v>
      </c>
      <c r="F17" s="234"/>
      <c r="G17" s="234"/>
      <c r="H17" s="234"/>
      <c r="I17" s="181">
        <f t="shared" si="0"/>
        <v>0</v>
      </c>
      <c r="J17" s="191">
        <f t="shared" si="1"/>
        <v>0</v>
      </c>
      <c r="K17" s="182"/>
    </row>
    <row r="18" spans="2:13" ht="15.75" x14ac:dyDescent="0.3">
      <c r="B18" s="175" t="s">
        <v>208</v>
      </c>
      <c r="C18" s="184">
        <v>1.65</v>
      </c>
      <c r="D18" s="185">
        <f>2*1.01+16</f>
        <v>18.02</v>
      </c>
      <c r="E18" s="236">
        <f t="shared" si="2"/>
        <v>9.156492785793563E-2</v>
      </c>
      <c r="F18" s="236">
        <v>17</v>
      </c>
      <c r="G18" s="236"/>
      <c r="H18" s="236"/>
      <c r="I18" s="181">
        <f t="shared" si="0"/>
        <v>17</v>
      </c>
      <c r="J18" s="191">
        <f t="shared" si="1"/>
        <v>1.5566037735849056</v>
      </c>
      <c r="K18" s="182"/>
    </row>
    <row r="19" spans="2:13" x14ac:dyDescent="0.2">
      <c r="B19" s="187"/>
      <c r="K19" s="188"/>
    </row>
    <row r="20" spans="2:13" ht="15.75" x14ac:dyDescent="0.3">
      <c r="B20" s="189" t="s">
        <v>144</v>
      </c>
      <c r="C20" s="190">
        <f>SUM(C7:C18)</f>
        <v>99.970000000000027</v>
      </c>
      <c r="E20" s="191">
        <f>SUM(E7:E18)</f>
        <v>1.6200510486466062</v>
      </c>
      <c r="F20" s="192"/>
      <c r="I20" s="237" t="s">
        <v>220</v>
      </c>
      <c r="J20" s="191">
        <f>SUM(J7:J18)</f>
        <v>38.172340257388854</v>
      </c>
      <c r="K20" s="194"/>
      <c r="L20" s="195"/>
      <c r="M20" s="195"/>
    </row>
    <row r="21" spans="2:13" ht="14.25" x14ac:dyDescent="0.2">
      <c r="B21" s="189" t="s">
        <v>228</v>
      </c>
      <c r="C21" s="196" t="s">
        <v>209</v>
      </c>
      <c r="D21" s="194" t="s">
        <v>210</v>
      </c>
      <c r="E21" s="197" t="s">
        <v>211</v>
      </c>
      <c r="F21" s="196" t="s">
        <v>221</v>
      </c>
      <c r="G21" s="218" t="s">
        <v>222</v>
      </c>
      <c r="H21" s="218" t="s">
        <v>222</v>
      </c>
      <c r="I21" s="196" t="s">
        <v>221</v>
      </c>
      <c r="J21" s="196" t="s">
        <v>223</v>
      </c>
    </row>
    <row r="22" spans="2:13" x14ac:dyDescent="0.2">
      <c r="G22" s="197" t="s">
        <v>224</v>
      </c>
      <c r="H22" s="197" t="s">
        <v>225</v>
      </c>
    </row>
    <row r="24" spans="2:13" ht="14.25" x14ac:dyDescent="0.2">
      <c r="F24" s="238" t="s">
        <v>233</v>
      </c>
      <c r="G24" s="239"/>
      <c r="H24" s="240">
        <f>100/J20</f>
        <v>2.6196979102072064</v>
      </c>
      <c r="I24" s="241" t="s">
        <v>234</v>
      </c>
    </row>
    <row r="25" spans="2:13" x14ac:dyDescent="0.2">
      <c r="F25" s="242"/>
      <c r="G25" s="243"/>
      <c r="H25" s="244">
        <f>100/(J20-J18)</f>
        <v>2.7310661918334618</v>
      </c>
      <c r="I25" s="245" t="s">
        <v>235</v>
      </c>
    </row>
    <row r="26" spans="2:13" x14ac:dyDescent="0.2">
      <c r="F26" s="189"/>
      <c r="G26" s="189"/>
      <c r="H26" s="246"/>
      <c r="I26" s="189"/>
    </row>
    <row r="27" spans="2:13" ht="13.5" x14ac:dyDescent="0.25">
      <c r="B27" s="227" t="s">
        <v>236</v>
      </c>
    </row>
    <row r="28" spans="2:13" x14ac:dyDescent="0.2">
      <c r="B28" s="227" t="s">
        <v>237</v>
      </c>
    </row>
    <row r="30" spans="2:13" x14ac:dyDescent="0.2">
      <c r="B30" s="166" t="s">
        <v>238</v>
      </c>
    </row>
  </sheetData>
  <mergeCells count="2">
    <mergeCell ref="B2:J2"/>
    <mergeCell ref="B4:G4"/>
  </mergeCells>
  <printOptions gridLinesSet="0"/>
  <pageMargins left="0.75" right="0.75" top="1" bottom="1" header="0.5" footer="0.5"/>
  <pageSetup orientation="portrait" r:id="rId1"/>
  <headerFooter alignWithMargins="0">
    <oddHeader>&amp;A</oddHeader>
    <oddFooter>Page &amp;P</oddFooter>
  </headerFooter>
  <drawing r:id="rId2"/>
  <legacyDrawing r:id="rId3"/>
  <oleObjects>
    <mc:AlternateContent xmlns:mc="http://schemas.openxmlformats.org/markup-compatibility/2006">
      <mc:Choice Requires="x14">
        <oleObject progId="Equation.DSMT4" shapeId="3073" r:id="rId4">
          <objectPr defaultSize="0" autoPict="0" r:id="rId5">
            <anchor moveWithCells="1" sizeWithCells="1">
              <from>
                <xdr:col>1</xdr:col>
                <xdr:colOff>504825</xdr:colOff>
                <xdr:row>22</xdr:row>
                <xdr:rowOff>47625</xdr:rowOff>
              </from>
              <to>
                <xdr:col>3</xdr:col>
                <xdr:colOff>285750</xdr:colOff>
                <xdr:row>24</xdr:row>
                <xdr:rowOff>123825</xdr:rowOff>
              </to>
            </anchor>
          </objectPr>
        </oleObject>
      </mc:Choice>
      <mc:Fallback>
        <oleObject progId="Equation.DSMT4"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topLeftCell="A11" workbookViewId="0">
      <selection activeCell="N20" sqref="N20"/>
    </sheetView>
  </sheetViews>
  <sheetFormatPr defaultRowHeight="12.75" x14ac:dyDescent="0.2"/>
  <cols>
    <col min="1" max="1" width="1.6640625" style="166" customWidth="1"/>
    <col min="2" max="2" width="11.83203125" style="166" customWidth="1"/>
    <col min="3" max="3" width="11.33203125" style="166" customWidth="1"/>
    <col min="4" max="4" width="14.33203125" style="166" customWidth="1"/>
    <col min="5" max="5" width="23" style="166" customWidth="1"/>
    <col min="6" max="6" width="15.5" style="166" bestFit="1" customWidth="1"/>
    <col min="7" max="7" width="9.33203125" style="166"/>
    <col min="8" max="8" width="11.6640625" style="166" bestFit="1" customWidth="1"/>
    <col min="9" max="9" width="12.83203125" style="166" customWidth="1"/>
    <col min="10" max="10" width="1.1640625" style="166" customWidth="1"/>
    <col min="11" max="16384" width="9.33203125" style="166"/>
  </cols>
  <sheetData>
    <row r="1" spans="2:10" ht="7.5" customHeight="1" x14ac:dyDescent="0.2"/>
    <row r="2" spans="2:10" x14ac:dyDescent="0.2">
      <c r="B2" s="167" t="s">
        <v>254</v>
      </c>
    </row>
    <row r="3" spans="2:10" ht="4.5" customHeight="1" x14ac:dyDescent="0.2">
      <c r="B3" s="167"/>
    </row>
    <row r="4" spans="2:10" ht="42.75" customHeight="1" x14ac:dyDescent="0.2">
      <c r="C4" s="271" t="s">
        <v>260</v>
      </c>
      <c r="D4" s="272"/>
      <c r="E4" s="272"/>
      <c r="F4" s="272"/>
      <c r="G4" s="273"/>
      <c r="I4" s="168"/>
    </row>
    <row r="5" spans="2:10" ht="15" x14ac:dyDescent="0.25">
      <c r="E5" s="169" t="s">
        <v>195</v>
      </c>
      <c r="F5" s="169" t="s">
        <v>196</v>
      </c>
      <c r="G5" s="170"/>
      <c r="H5" s="169" t="s">
        <v>197</v>
      </c>
      <c r="I5" s="171">
        <v>800</v>
      </c>
    </row>
    <row r="6" spans="2:10" ht="17.25" thickBot="1" x14ac:dyDescent="0.35">
      <c r="B6" s="172" t="s">
        <v>227</v>
      </c>
      <c r="C6" s="173" t="s">
        <v>126</v>
      </c>
      <c r="D6" s="173" t="s">
        <v>124</v>
      </c>
      <c r="E6" s="173" t="s">
        <v>229</v>
      </c>
      <c r="F6" s="173" t="s">
        <v>258</v>
      </c>
      <c r="G6" s="174" t="s">
        <v>198</v>
      </c>
      <c r="H6" s="174" t="s">
        <v>199</v>
      </c>
      <c r="I6" s="174" t="s">
        <v>200</v>
      </c>
      <c r="J6" s="169"/>
    </row>
    <row r="7" spans="2:10" ht="15.75" x14ac:dyDescent="0.3">
      <c r="B7" s="175" t="s">
        <v>201</v>
      </c>
      <c r="C7" s="176">
        <v>49.2</v>
      </c>
      <c r="D7" s="177">
        <f>28.09+2*16</f>
        <v>60.09</v>
      </c>
      <c r="E7" s="178">
        <f>C7/D7</f>
        <v>0.81877184223664501</v>
      </c>
      <c r="F7" s="178">
        <f>E7/$E$20</f>
        <v>0.46926234141438689</v>
      </c>
      <c r="G7" s="179"/>
      <c r="H7" s="180"/>
      <c r="I7" s="181"/>
      <c r="J7" s="182"/>
    </row>
    <row r="8" spans="2:10" ht="15.75" x14ac:dyDescent="0.3">
      <c r="B8" s="175" t="s">
        <v>202</v>
      </c>
      <c r="C8" s="183">
        <v>2.0299999999999998</v>
      </c>
      <c r="D8" s="177">
        <v>79.88</v>
      </c>
      <c r="E8" s="178">
        <f>C8/D8</f>
        <v>2.5413119679519279E-2</v>
      </c>
      <c r="F8" s="178">
        <f>E8/$E$20</f>
        <v>1.4565009967707846E-2</v>
      </c>
      <c r="G8" s="179">
        <v>4.5</v>
      </c>
      <c r="H8" s="180">
        <f>G8*$F$7</f>
        <v>2.1116805363647408</v>
      </c>
      <c r="I8" s="181">
        <f>H8*F8</f>
        <v>3.0756648060767101E-2</v>
      </c>
      <c r="J8" s="182"/>
    </row>
    <row r="9" spans="2:10" ht="15.75" x14ac:dyDescent="0.3">
      <c r="B9" s="175" t="s">
        <v>203</v>
      </c>
      <c r="C9" s="183">
        <v>16.100000000000001</v>
      </c>
      <c r="D9" s="177">
        <f>2*26.98+3*16</f>
        <v>101.96000000000001</v>
      </c>
      <c r="E9" s="178">
        <f>2*C9/D9</f>
        <v>0.31581012161632011</v>
      </c>
      <c r="F9" s="178">
        <f>E9/$E$20</f>
        <v>0.18100011439963989</v>
      </c>
      <c r="G9" s="179">
        <v>6.7</v>
      </c>
      <c r="H9" s="180">
        <f>G9*$F$7</f>
        <v>3.1440576874763924</v>
      </c>
      <c r="I9" s="181">
        <f>H9*F9</f>
        <v>0.56907480111229425</v>
      </c>
      <c r="J9" s="182"/>
    </row>
    <row r="10" spans="2:10" ht="15.75" x14ac:dyDescent="0.3">
      <c r="B10" s="175" t="s">
        <v>204</v>
      </c>
      <c r="C10" s="183">
        <v>2.72</v>
      </c>
      <c r="D10" s="177">
        <f>2*55.85+3*16</f>
        <v>159.69999999999999</v>
      </c>
      <c r="E10" s="178">
        <f>2*C10/D10</f>
        <v>3.4063869755792113E-2</v>
      </c>
      <c r="F10" s="178">
        <f>E10/$E$20</f>
        <v>1.9523010507508029E-2</v>
      </c>
      <c r="G10" s="179">
        <v>3.4</v>
      </c>
      <c r="H10" s="180">
        <f>G10*$F$7</f>
        <v>1.5954919608089153</v>
      </c>
      <c r="I10" s="181">
        <f>H10*F10</f>
        <v>3.1148806315517041E-2</v>
      </c>
      <c r="J10" s="182"/>
    </row>
    <row r="11" spans="2:10" x14ac:dyDescent="0.2">
      <c r="B11" s="175" t="s">
        <v>28</v>
      </c>
      <c r="C11" s="183">
        <v>7.77</v>
      </c>
      <c r="D11" s="177">
        <f>55.85+16</f>
        <v>71.849999999999994</v>
      </c>
      <c r="E11" s="178">
        <f>C11/D11+C12/D12</f>
        <v>0.11067931793341193</v>
      </c>
      <c r="F11" s="178">
        <f>E11/$E$20</f>
        <v>6.3433588211462916E-2</v>
      </c>
      <c r="G11" s="179">
        <v>3.4</v>
      </c>
      <c r="H11" s="180">
        <f>G11*$F$7</f>
        <v>1.5954919608089153</v>
      </c>
      <c r="I11" s="181">
        <f>H11*F11</f>
        <v>0.10120778003665226</v>
      </c>
      <c r="J11" s="182"/>
    </row>
    <row r="12" spans="2:10" x14ac:dyDescent="0.2">
      <c r="B12" s="175" t="s">
        <v>30</v>
      </c>
      <c r="C12" s="183">
        <v>0.18</v>
      </c>
      <c r="D12" s="177">
        <f>54.94+16</f>
        <v>70.94</v>
      </c>
      <c r="E12" s="178">
        <f>C12/D12</f>
        <v>2.5373555117000281E-3</v>
      </c>
      <c r="F12" s="178">
        <f>E12/$E$20</f>
        <v>1.4542334347605933E-3</v>
      </c>
      <c r="G12" s="179">
        <v>3.4</v>
      </c>
      <c r="H12" s="180">
        <f>G12*$F$7</f>
        <v>1.5954919608089153</v>
      </c>
      <c r="I12" s="181">
        <f>H12*F12</f>
        <v>2.3202177543000628E-3</v>
      </c>
      <c r="J12" s="182"/>
    </row>
    <row r="13" spans="2:10" x14ac:dyDescent="0.2">
      <c r="B13" s="175" t="s">
        <v>31</v>
      </c>
      <c r="C13" s="183">
        <v>6.44</v>
      </c>
      <c r="D13" s="177">
        <f>24.305+16</f>
        <v>40.305</v>
      </c>
      <c r="E13" s="178">
        <f>C13/D13</f>
        <v>0.15978166480585537</v>
      </c>
      <c r="F13" s="178">
        <f>E13/$E$20</f>
        <v>9.1575594413533246E-2</v>
      </c>
      <c r="G13" s="179">
        <v>3.4</v>
      </c>
      <c r="H13" s="180">
        <f>G13*$F$7</f>
        <v>1.5954919608089153</v>
      </c>
      <c r="I13" s="181">
        <f>H13*F13</f>
        <v>0.14610812469309012</v>
      </c>
      <c r="J13" s="182"/>
    </row>
    <row r="14" spans="2:10" x14ac:dyDescent="0.2">
      <c r="B14" s="175" t="s">
        <v>32</v>
      </c>
      <c r="C14" s="183">
        <v>10.5</v>
      </c>
      <c r="D14" s="177">
        <f>40.08+16</f>
        <v>56.08</v>
      </c>
      <c r="E14" s="178">
        <f>C14/D14</f>
        <v>0.18723252496433668</v>
      </c>
      <c r="F14" s="178">
        <f>E14/$E$20</f>
        <v>0.10730849367472295</v>
      </c>
      <c r="G14" s="179">
        <v>4.5</v>
      </c>
      <c r="H14" s="180">
        <f>G14*$F$7</f>
        <v>2.1116805363647408</v>
      </c>
      <c r="I14" s="181">
        <f>H14*F14</f>
        <v>0.22660125747953136</v>
      </c>
      <c r="J14" s="182"/>
    </row>
    <row r="15" spans="2:10" ht="15.75" x14ac:dyDescent="0.3">
      <c r="B15" s="175" t="s">
        <v>205</v>
      </c>
      <c r="C15" s="183">
        <v>3.01</v>
      </c>
      <c r="D15" s="177">
        <f>2*22.99+16</f>
        <v>61.98</v>
      </c>
      <c r="E15" s="178">
        <f>C15/D15</f>
        <v>4.856405292029687E-2</v>
      </c>
      <c r="F15" s="178">
        <f>E15/$E$20</f>
        <v>2.7833494028931254E-2</v>
      </c>
      <c r="G15" s="179">
        <v>2.8</v>
      </c>
      <c r="H15" s="180">
        <f>G15*$F$7</f>
        <v>1.3139345559602833</v>
      </c>
      <c r="I15" s="181">
        <f>H15*F15</f>
        <v>3.6571389617726983E-2</v>
      </c>
      <c r="J15" s="182"/>
    </row>
    <row r="16" spans="2:10" ht="15.75" x14ac:dyDescent="0.3">
      <c r="B16" s="175" t="s">
        <v>206</v>
      </c>
      <c r="C16" s="183">
        <v>0.14000000000000001</v>
      </c>
      <c r="D16" s="177">
        <f>2*39.1+16</f>
        <v>94.2</v>
      </c>
      <c r="E16" s="178">
        <f>C16/D16</f>
        <v>1.48619957537155E-3</v>
      </c>
      <c r="F16" s="178">
        <f>E16/$E$20</f>
        <v>8.5178490095944265E-4</v>
      </c>
      <c r="G16" s="179">
        <v>2.8</v>
      </c>
      <c r="H16" s="180">
        <f>G16*$F$7</f>
        <v>1.3139345559602833</v>
      </c>
      <c r="I16" s="181">
        <f>H16*F16</f>
        <v>1.1191896156158192E-3</v>
      </c>
      <c r="J16" s="182"/>
    </row>
    <row r="17" spans="2:12" ht="15.75" x14ac:dyDescent="0.3">
      <c r="B17" s="175" t="s">
        <v>207</v>
      </c>
      <c r="C17" s="183">
        <v>0.23</v>
      </c>
      <c r="D17" s="177">
        <f>2*30.97+5*16</f>
        <v>141.94</v>
      </c>
      <c r="E17" s="178">
        <f>C17/D17</f>
        <v>1.6204029871776807E-3</v>
      </c>
      <c r="F17" s="178">
        <f>E17/$E$20</f>
        <v>9.2870084261897803E-4</v>
      </c>
      <c r="H17" s="180"/>
      <c r="I17" s="181"/>
      <c r="J17" s="182"/>
    </row>
    <row r="18" spans="2:12" ht="15.75" x14ac:dyDescent="0.3">
      <c r="B18" s="175" t="s">
        <v>208</v>
      </c>
      <c r="C18" s="184">
        <v>0.7</v>
      </c>
      <c r="D18" s="185">
        <f>2*1.01+16</f>
        <v>18.02</v>
      </c>
      <c r="E18" s="186">
        <f>C18/D18</f>
        <v>3.8845726970033294E-2</v>
      </c>
      <c r="F18" s="178">
        <f>E18/$E$20</f>
        <v>2.2263634203767896E-2</v>
      </c>
      <c r="G18" s="179">
        <v>2</v>
      </c>
      <c r="H18" s="180">
        <f>G18*$F$7</f>
        <v>0.93852468282877377</v>
      </c>
      <c r="I18" s="181">
        <f>H18*F18</f>
        <v>2.0894970229707103E-2</v>
      </c>
      <c r="J18" s="182"/>
    </row>
    <row r="19" spans="2:12" ht="8.25" customHeight="1" x14ac:dyDescent="0.2">
      <c r="B19" s="187"/>
      <c r="J19" s="188"/>
    </row>
    <row r="20" spans="2:12" x14ac:dyDescent="0.2">
      <c r="B20" s="189" t="s">
        <v>144</v>
      </c>
      <c r="C20" s="190">
        <f>SUM(C7:C18)</f>
        <v>99.020000000000024</v>
      </c>
      <c r="E20" s="191">
        <f>SUM(E7:E18)</f>
        <v>1.7448061989564601</v>
      </c>
      <c r="F20" s="192">
        <f>SUM(F7:F19)</f>
        <v>0.99999999999999989</v>
      </c>
      <c r="H20" s="193"/>
      <c r="I20" s="181">
        <f>SUM(I7:I18)</f>
        <v>1.165803184915202</v>
      </c>
      <c r="J20" s="194"/>
      <c r="K20" s="195"/>
      <c r="L20" s="195"/>
    </row>
    <row r="21" spans="2:12" x14ac:dyDescent="0.2">
      <c r="B21" s="189" t="s">
        <v>228</v>
      </c>
      <c r="C21" s="196" t="s">
        <v>209</v>
      </c>
      <c r="D21" s="194" t="s">
        <v>210</v>
      </c>
      <c r="E21" s="197" t="s">
        <v>211</v>
      </c>
      <c r="F21" s="196" t="s">
        <v>212</v>
      </c>
      <c r="G21" s="197"/>
      <c r="H21" s="197"/>
      <c r="I21" s="196"/>
    </row>
    <row r="22" spans="2:12" ht="8.25" customHeight="1" x14ac:dyDescent="0.2">
      <c r="B22" s="189"/>
      <c r="C22" s="196"/>
      <c r="D22" s="194"/>
      <c r="E22" s="197"/>
      <c r="F22" s="196"/>
      <c r="G22" s="197"/>
      <c r="H22" s="197"/>
      <c r="I22" s="196"/>
    </row>
    <row r="23" spans="2:12" ht="15.75" x14ac:dyDescent="0.3">
      <c r="B23" s="189" t="s">
        <v>255</v>
      </c>
      <c r="C23" s="196"/>
      <c r="D23" s="194"/>
      <c r="E23" s="197"/>
      <c r="F23" s="198">
        <f>I20/(1-F7)</f>
        <v>2.1965714436431809</v>
      </c>
      <c r="G23" s="197"/>
      <c r="H23" s="197"/>
      <c r="I23" s="196"/>
    </row>
    <row r="24" spans="2:12" x14ac:dyDescent="0.2">
      <c r="B24" s="189"/>
      <c r="C24" s="196"/>
      <c r="D24" s="194"/>
      <c r="E24" s="197"/>
      <c r="F24" s="196"/>
      <c r="G24" s="197"/>
      <c r="H24" s="197"/>
      <c r="I24" s="196"/>
    </row>
    <row r="25" spans="2:12" ht="15.95" customHeight="1" x14ac:dyDescent="0.3">
      <c r="B25" s="199" t="s">
        <v>256</v>
      </c>
      <c r="C25" s="199"/>
      <c r="D25" s="199"/>
      <c r="E25" s="199"/>
      <c r="F25" s="194">
        <f>F23*(10000/(I5+273))-1.5*F23-6.4</f>
        <v>10.776451722169723</v>
      </c>
      <c r="G25" s="200" t="s">
        <v>213</v>
      </c>
      <c r="H25" s="201">
        <f>EXP(F25)/10</f>
        <v>4787.9931172444776</v>
      </c>
      <c r="I25" s="202" t="s">
        <v>214</v>
      </c>
    </row>
    <row r="26" spans="2:12" x14ac:dyDescent="0.2">
      <c r="B26" s="203"/>
      <c r="C26" s="203"/>
      <c r="D26" s="203"/>
      <c r="E26" s="203"/>
      <c r="F26" s="204"/>
      <c r="G26" s="205" t="s">
        <v>257</v>
      </c>
      <c r="H26" s="206"/>
      <c r="I26" s="207"/>
    </row>
    <row r="27" spans="2:12" ht="4.5" customHeight="1" x14ac:dyDescent="0.2">
      <c r="B27" s="208"/>
      <c r="C27" s="208"/>
      <c r="D27" s="208"/>
      <c r="E27" s="208"/>
      <c r="F27" s="209"/>
      <c r="G27" s="210"/>
      <c r="H27" s="211"/>
      <c r="I27" s="212"/>
    </row>
    <row r="28" spans="2:12" ht="13.5" x14ac:dyDescent="0.2">
      <c r="B28" s="279" t="s">
        <v>262</v>
      </c>
      <c r="C28" s="203"/>
      <c r="D28" s="203"/>
      <c r="E28" s="203"/>
      <c r="F28" s="213"/>
      <c r="G28" s="214"/>
      <c r="H28" s="215"/>
      <c r="I28" s="207"/>
    </row>
    <row r="29" spans="2:12" x14ac:dyDescent="0.2">
      <c r="B29" s="216"/>
      <c r="E29" s="217"/>
      <c r="F29" s="217"/>
      <c r="G29" s="218"/>
      <c r="H29" s="218"/>
      <c r="I29" s="217"/>
    </row>
    <row r="30" spans="2:12" ht="15.95" customHeight="1" x14ac:dyDescent="0.3">
      <c r="B30" s="219" t="s">
        <v>213</v>
      </c>
      <c r="C30" s="220">
        <f>IF(F30&lt;=0.24,10^((0.0000585485*(I5+273)^2-0.119564*(I5+273)+31.926)*F30-0.0142778*(I5+273)+26.8446),10^(-1.86185*F30-0.009511*(I5+273)+15.6293))</f>
        <v>99651216.510681927</v>
      </c>
      <c r="D30" s="221" t="s">
        <v>214</v>
      </c>
      <c r="E30" s="222" t="str">
        <f>IF(C7&lt;70,"SiO2 πολύ χαμηλό",IF(I5&lt;700,"T πολύ χαμηλή",IF(I5&gt;900,"T πολύ υψηλή"," ")))</f>
        <v>SiO2 πολύ χαμηλό</v>
      </c>
      <c r="F30" s="274">
        <f>'Μορ. Κλάσμα Η2Ο'!D31</f>
        <v>0.1217656053893444</v>
      </c>
      <c r="G30" s="275" t="s">
        <v>259</v>
      </c>
      <c r="H30" s="276"/>
      <c r="I30" s="277"/>
      <c r="J30" s="278"/>
      <c r="K30" s="278"/>
      <c r="L30" s="278"/>
    </row>
    <row r="31" spans="2:12" ht="12.75" customHeight="1" x14ac:dyDescent="0.2">
      <c r="B31" s="224"/>
      <c r="C31" s="224"/>
      <c r="D31" s="224"/>
      <c r="E31" s="225"/>
      <c r="F31" s="225"/>
      <c r="G31" s="225"/>
      <c r="H31" s="226"/>
      <c r="I31" s="225"/>
    </row>
    <row r="32" spans="2:12" ht="5.25" customHeight="1" x14ac:dyDescent="0.2">
      <c r="B32" s="227"/>
      <c r="C32" s="228"/>
      <c r="D32" s="217"/>
      <c r="E32" s="223"/>
      <c r="F32" s="223"/>
      <c r="G32" s="223"/>
      <c r="H32" s="223"/>
      <c r="I32" s="223"/>
    </row>
    <row r="33" spans="2:9" ht="12.75" customHeight="1" x14ac:dyDescent="0.2">
      <c r="B33" s="229" t="s">
        <v>261</v>
      </c>
      <c r="C33" s="230"/>
      <c r="D33" s="217"/>
      <c r="E33" s="217"/>
      <c r="F33" s="217"/>
      <c r="G33" s="217"/>
      <c r="H33" s="217"/>
      <c r="I33" s="217"/>
    </row>
    <row r="34" spans="2:9" ht="6.75" customHeight="1" x14ac:dyDescent="0.2">
      <c r="B34" s="217"/>
      <c r="C34" s="217"/>
      <c r="D34" s="217"/>
      <c r="E34" s="217"/>
      <c r="F34" s="217"/>
      <c r="G34" s="217"/>
      <c r="H34" s="217"/>
      <c r="I34" s="217"/>
    </row>
    <row r="35" spans="2:9" ht="15.95" customHeight="1" x14ac:dyDescent="0.2">
      <c r="B35" s="219" t="s">
        <v>213</v>
      </c>
      <c r="C35" s="220">
        <f>10^((-3.545+0.833*LN(C18))+(9601-2368*LN(C18))/((I5+273)-(195.7+32.25*LN(C18))))</f>
        <v>81345865.405022785</v>
      </c>
      <c r="D35" s="221" t="s">
        <v>214</v>
      </c>
      <c r="E35" s="217"/>
      <c r="F35" s="217"/>
      <c r="G35" s="217"/>
      <c r="H35" s="217"/>
      <c r="I35" s="217"/>
    </row>
    <row r="36" spans="2:9" ht="12.75" customHeight="1" x14ac:dyDescent="0.2"/>
    <row r="37" spans="2:9" x14ac:dyDescent="0.2">
      <c r="B37" s="166" t="s">
        <v>238</v>
      </c>
    </row>
  </sheetData>
  <mergeCells count="2">
    <mergeCell ref="B25:E25"/>
    <mergeCell ref="C4:G4"/>
  </mergeCells>
  <printOptions gridLinesSet="0"/>
  <pageMargins left="0.75" right="0.75" top="1" bottom="1" header="0.5" footer="0.5"/>
  <pageSetup orientation="portrait"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election activeCell="L28" sqref="L28"/>
    </sheetView>
  </sheetViews>
  <sheetFormatPr defaultRowHeight="12.75" x14ac:dyDescent="0.2"/>
  <cols>
    <col min="1" max="6" width="9.33203125" style="166"/>
    <col min="7" max="7" width="3.5" style="166" customWidth="1"/>
    <col min="8" max="16384" width="9.33203125" style="166"/>
  </cols>
  <sheetData>
    <row r="1" spans="1:10" ht="15.75" customHeight="1" x14ac:dyDescent="0.2">
      <c r="A1" s="248" t="s">
        <v>253</v>
      </c>
      <c r="B1" s="248"/>
      <c r="C1" s="248"/>
      <c r="D1" s="248"/>
      <c r="E1" s="248"/>
      <c r="F1" s="248"/>
      <c r="G1" s="248"/>
      <c r="H1" s="248"/>
      <c r="I1" s="248"/>
      <c r="J1" s="248"/>
    </row>
    <row r="2" spans="1:10" x14ac:dyDescent="0.2">
      <c r="A2" s="248"/>
      <c r="B2" s="248"/>
      <c r="C2" s="248"/>
      <c r="D2" s="248"/>
      <c r="E2" s="248"/>
      <c r="F2" s="248"/>
      <c r="G2" s="248"/>
      <c r="H2" s="248"/>
      <c r="I2" s="248"/>
      <c r="J2" s="248"/>
    </row>
    <row r="3" spans="1:10" x14ac:dyDescent="0.2">
      <c r="A3" s="270"/>
      <c r="B3" s="270"/>
      <c r="C3" s="270"/>
      <c r="D3" s="270"/>
      <c r="E3" s="270"/>
      <c r="F3" s="270"/>
      <c r="G3" s="270"/>
      <c r="H3" s="270"/>
      <c r="I3" s="270"/>
    </row>
    <row r="4" spans="1:10" x14ac:dyDescent="0.2">
      <c r="A4" s="269"/>
      <c r="B4" s="269"/>
      <c r="C4" s="269"/>
      <c r="D4" s="269"/>
      <c r="E4" s="269"/>
      <c r="F4" s="269"/>
      <c r="G4" s="269"/>
      <c r="H4" s="269"/>
      <c r="I4" s="269"/>
    </row>
    <row r="5" spans="1:10" x14ac:dyDescent="0.2">
      <c r="B5" s="231" t="s">
        <v>252</v>
      </c>
      <c r="C5" s="231" t="s">
        <v>251</v>
      </c>
      <c r="D5" s="168" t="s">
        <v>250</v>
      </c>
      <c r="E5" s="168" t="s">
        <v>249</v>
      </c>
      <c r="F5" s="231" t="s">
        <v>248</v>
      </c>
      <c r="G5" s="268"/>
    </row>
    <row r="6" spans="1:10" ht="15.75" x14ac:dyDescent="0.3">
      <c r="A6" s="166" t="s">
        <v>201</v>
      </c>
      <c r="B6" s="265">
        <f>'Υπολογισμός Ιξώδους Μαγμάτων'!C7</f>
        <v>49.2</v>
      </c>
      <c r="C6" s="265">
        <v>60.09</v>
      </c>
      <c r="D6" s="264">
        <f>B6/C6</f>
        <v>0.81877184223664501</v>
      </c>
      <c r="E6" s="264">
        <f>D6</f>
        <v>0.81877184223664501</v>
      </c>
      <c r="F6" s="264">
        <f>2*D6</f>
        <v>1.63754368447329</v>
      </c>
      <c r="G6" s="262"/>
    </row>
    <row r="7" spans="1:10" ht="15.75" x14ac:dyDescent="0.3">
      <c r="A7" s="166" t="s">
        <v>202</v>
      </c>
      <c r="B7" s="265">
        <f>'Υπολογισμός Ιξώδους Μαγμάτων'!C8</f>
        <v>2.0299999999999998</v>
      </c>
      <c r="C7" s="265">
        <v>79.900000000000006</v>
      </c>
      <c r="D7" s="264">
        <f>B7/C7</f>
        <v>2.540675844806007E-2</v>
      </c>
      <c r="E7" s="264">
        <f>D7</f>
        <v>2.540675844806007E-2</v>
      </c>
      <c r="F7" s="264">
        <f>2*D7</f>
        <v>5.0813516896120139E-2</v>
      </c>
      <c r="G7" s="262"/>
    </row>
    <row r="8" spans="1:10" ht="15.75" x14ac:dyDescent="0.3">
      <c r="A8" s="166" t="s">
        <v>203</v>
      </c>
      <c r="B8" s="265">
        <f>'Υπολογισμός Ιξώδους Μαγμάτων'!C9</f>
        <v>16.100000000000001</v>
      </c>
      <c r="C8" s="265">
        <v>101.94</v>
      </c>
      <c r="D8" s="264">
        <f>B8/C8</f>
        <v>0.15793604080831863</v>
      </c>
      <c r="E8" s="264">
        <f>2*D8</f>
        <v>0.31587208161663727</v>
      </c>
      <c r="F8" s="264">
        <f>3*D8</f>
        <v>0.4738081224249559</v>
      </c>
      <c r="G8" s="262"/>
    </row>
    <row r="9" spans="1:10" ht="15.75" x14ac:dyDescent="0.3">
      <c r="A9" s="166" t="s">
        <v>204</v>
      </c>
      <c r="B9" s="265">
        <f>'Υπολογισμός Ιξώδους Μαγμάτων'!C10</f>
        <v>2.72</v>
      </c>
      <c r="C9" s="265">
        <v>159.69999999999999</v>
      </c>
      <c r="D9" s="264">
        <f>B9/C9</f>
        <v>1.7031934877896057E-2</v>
      </c>
      <c r="E9" s="264">
        <f>2*D9</f>
        <v>3.4063869755792113E-2</v>
      </c>
      <c r="F9" s="264">
        <f>3*D9</f>
        <v>5.1095804633688166E-2</v>
      </c>
      <c r="G9" s="262"/>
      <c r="J9" s="267"/>
    </row>
    <row r="10" spans="1:10" x14ac:dyDescent="0.2">
      <c r="A10" s="166" t="s">
        <v>28</v>
      </c>
      <c r="B10" s="265">
        <f>'Υπολογισμός Ιξώδους Μαγμάτων'!C11</f>
        <v>7.77</v>
      </c>
      <c r="C10" s="265">
        <v>71.849999999999994</v>
      </c>
      <c r="D10" s="264">
        <f>B10/C10</f>
        <v>0.1081419624217119</v>
      </c>
      <c r="E10" s="264">
        <f>D10</f>
        <v>0.1081419624217119</v>
      </c>
      <c r="F10" s="264">
        <f>D10</f>
        <v>0.1081419624217119</v>
      </c>
      <c r="G10" s="262"/>
    </row>
    <row r="11" spans="1:10" x14ac:dyDescent="0.2">
      <c r="A11" s="166" t="s">
        <v>30</v>
      </c>
      <c r="B11" s="265">
        <f>'Υπολογισμός Ιξώδους Μαγμάτων'!C12</f>
        <v>0.18</v>
      </c>
      <c r="C11" s="265">
        <v>70.94</v>
      </c>
      <c r="D11" s="264">
        <f>B11/C11</f>
        <v>2.5373555117000281E-3</v>
      </c>
      <c r="E11" s="264">
        <f>D11</f>
        <v>2.5373555117000281E-3</v>
      </c>
      <c r="F11" s="264">
        <f>D11</f>
        <v>2.5373555117000281E-3</v>
      </c>
      <c r="G11" s="262"/>
    </row>
    <row r="12" spans="1:10" x14ac:dyDescent="0.2">
      <c r="A12" s="166" t="s">
        <v>31</v>
      </c>
      <c r="B12" s="265">
        <f>'Υπολογισμός Ιξώδους Μαγμάτων'!C13</f>
        <v>6.44</v>
      </c>
      <c r="C12" s="265">
        <v>40.32</v>
      </c>
      <c r="D12" s="264">
        <f>B12/C12</f>
        <v>0.15972222222222224</v>
      </c>
      <c r="E12" s="264">
        <f>D12</f>
        <v>0.15972222222222224</v>
      </c>
      <c r="F12" s="264">
        <f>D12</f>
        <v>0.15972222222222224</v>
      </c>
      <c r="G12" s="262"/>
    </row>
    <row r="13" spans="1:10" x14ac:dyDescent="0.2">
      <c r="A13" s="166" t="s">
        <v>32</v>
      </c>
      <c r="B13" s="265">
        <f>'Υπολογισμός Ιξώδους Μαγμάτων'!C14</f>
        <v>10.5</v>
      </c>
      <c r="C13" s="265">
        <v>56.08</v>
      </c>
      <c r="D13" s="264">
        <f>B13/C13</f>
        <v>0.18723252496433668</v>
      </c>
      <c r="E13" s="264">
        <f>D13</f>
        <v>0.18723252496433668</v>
      </c>
      <c r="F13" s="264">
        <f>D13</f>
        <v>0.18723252496433668</v>
      </c>
      <c r="G13" s="262"/>
    </row>
    <row r="14" spans="1:10" ht="15.75" x14ac:dyDescent="0.3">
      <c r="A14" s="166" t="s">
        <v>205</v>
      </c>
      <c r="B14" s="265">
        <f>'Υπολογισμός Ιξώδους Μαγμάτων'!C15</f>
        <v>3.01</v>
      </c>
      <c r="C14" s="265">
        <v>61.98</v>
      </c>
      <c r="D14" s="264">
        <f>B14/C14</f>
        <v>4.856405292029687E-2</v>
      </c>
      <c r="E14" s="264">
        <f>2*D14</f>
        <v>9.712810584059374E-2</v>
      </c>
      <c r="F14" s="264">
        <f>D14</f>
        <v>4.856405292029687E-2</v>
      </c>
      <c r="G14" s="262"/>
    </row>
    <row r="15" spans="1:10" ht="15.75" x14ac:dyDescent="0.3">
      <c r="A15" s="166" t="s">
        <v>206</v>
      </c>
      <c r="B15" s="265">
        <f>'Υπολογισμός Ιξώδους Μαγμάτων'!C16</f>
        <v>0.14000000000000001</v>
      </c>
      <c r="C15" s="265">
        <v>94.2</v>
      </c>
      <c r="D15" s="264">
        <f>B15/C15</f>
        <v>1.48619957537155E-3</v>
      </c>
      <c r="E15" s="264">
        <f>2*D15</f>
        <v>2.9723991507431E-3</v>
      </c>
      <c r="F15" s="264">
        <f>D15</f>
        <v>1.48619957537155E-3</v>
      </c>
      <c r="G15" s="262"/>
    </row>
    <row r="16" spans="1:10" ht="15.75" x14ac:dyDescent="0.3">
      <c r="A16" s="175" t="s">
        <v>207</v>
      </c>
      <c r="B16" s="265">
        <f>'Υπολογισμός Ιξώδους Μαγμάτων'!C17</f>
        <v>0.23</v>
      </c>
      <c r="C16" s="266">
        <f>2*30.97+5*16</f>
        <v>141.94</v>
      </c>
      <c r="D16" s="264">
        <f>B16/C16</f>
        <v>1.6204029871776807E-3</v>
      </c>
      <c r="E16" s="264">
        <f>2*D16</f>
        <v>3.2408059743553614E-3</v>
      </c>
      <c r="F16" s="264">
        <f>5*D16</f>
        <v>8.1020149358884026E-3</v>
      </c>
      <c r="G16" s="262"/>
    </row>
    <row r="17" spans="1:8" ht="15.75" x14ac:dyDescent="0.3">
      <c r="A17" s="175" t="s">
        <v>208</v>
      </c>
      <c r="B17" s="265">
        <f>'Υπολογισμός Ιξώδους Μαγμάτων'!C18</f>
        <v>0.7</v>
      </c>
      <c r="C17" s="265">
        <v>18.02</v>
      </c>
      <c r="D17" s="264">
        <f>B17/C17</f>
        <v>3.8845726970033294E-2</v>
      </c>
      <c r="E17" s="264"/>
      <c r="F17" s="264">
        <f>D17</f>
        <v>3.8845726970033294E-2</v>
      </c>
      <c r="G17" s="262"/>
    </row>
    <row r="18" spans="1:8" ht="6" customHeight="1" x14ac:dyDescent="0.2">
      <c r="A18" s="175"/>
      <c r="D18" s="262"/>
      <c r="E18" s="262"/>
      <c r="F18" s="262"/>
      <c r="G18" s="262"/>
    </row>
    <row r="19" spans="1:8" x14ac:dyDescent="0.2">
      <c r="A19" s="166" t="s">
        <v>247</v>
      </c>
      <c r="E19" s="263"/>
    </row>
    <row r="20" spans="1:8" x14ac:dyDescent="0.2">
      <c r="B20" s="195">
        <f>SUM(B6:B16)</f>
        <v>98.320000000000022</v>
      </c>
      <c r="D20" s="262">
        <f>SUM(D6:D16)</f>
        <v>1.5284512969737369</v>
      </c>
      <c r="E20" s="262">
        <f>SUM(E6:E16)</f>
        <v>1.7550899281427976</v>
      </c>
      <c r="F20" s="262">
        <f>SUM(F6:F16)</f>
        <v>2.7290474609795821</v>
      </c>
      <c r="G20" s="262"/>
    </row>
    <row r="21" spans="1:8" ht="7.5" customHeight="1" x14ac:dyDescent="0.2">
      <c r="B21" s="195"/>
      <c r="D21" s="262"/>
      <c r="E21" s="262"/>
      <c r="F21" s="262"/>
      <c r="G21" s="262"/>
    </row>
    <row r="22" spans="1:8" ht="15" x14ac:dyDescent="0.25">
      <c r="A22" s="261" t="s">
        <v>246</v>
      </c>
      <c r="B22" s="260"/>
      <c r="C22" s="260"/>
      <c r="D22" s="260"/>
      <c r="E22" s="260"/>
      <c r="F22" s="260"/>
      <c r="G22" s="260"/>
      <c r="H22" s="259"/>
    </row>
    <row r="23" spans="1:8" ht="15.75" x14ac:dyDescent="0.3">
      <c r="A23" s="258" t="s">
        <v>243</v>
      </c>
      <c r="B23" s="257">
        <f>B20*(1/E8)</f>
        <v>311.2652422360249</v>
      </c>
      <c r="C23" s="254"/>
      <c r="D23" s="254"/>
      <c r="E23" s="254"/>
      <c r="F23" s="254"/>
      <c r="G23" s="254"/>
      <c r="H23" s="253"/>
    </row>
    <row r="24" spans="1:8" ht="15.75" x14ac:dyDescent="0.3">
      <c r="A24" s="242" t="s">
        <v>245</v>
      </c>
      <c r="B24" s="243"/>
      <c r="C24" s="243"/>
      <c r="D24" s="243"/>
      <c r="E24" s="243"/>
      <c r="F24" s="243"/>
      <c r="G24" s="243"/>
      <c r="H24" s="252">
        <f>B23*(B17/100)/(C17*(1-(B17/100)))</f>
        <v>0.1217656053893444</v>
      </c>
    </row>
    <row r="26" spans="1:8" ht="15" x14ac:dyDescent="0.25">
      <c r="A26" s="261" t="s">
        <v>244</v>
      </c>
      <c r="B26" s="260"/>
      <c r="C26" s="260"/>
      <c r="D26" s="260"/>
      <c r="E26" s="260"/>
      <c r="F26" s="260"/>
      <c r="G26" s="260"/>
      <c r="H26" s="259"/>
    </row>
    <row r="27" spans="1:8" ht="15.75" x14ac:dyDescent="0.3">
      <c r="A27" s="258" t="s">
        <v>243</v>
      </c>
      <c r="B27" s="257">
        <f>B20*(8/F20)</f>
        <v>288.21777973684163</v>
      </c>
      <c r="C27" s="254"/>
      <c r="D27" s="254"/>
      <c r="E27" s="254"/>
      <c r="F27" s="254"/>
      <c r="G27" s="254"/>
      <c r="H27" s="253"/>
    </row>
    <row r="28" spans="1:8" ht="15.75" x14ac:dyDescent="0.3">
      <c r="A28" s="256" t="s">
        <v>242</v>
      </c>
      <c r="B28" s="255">
        <f>B17/100-(C17/(C17+B20*(1/E8)))</f>
        <v>-4.7724590381380147E-2</v>
      </c>
      <c r="C28" s="254"/>
      <c r="D28" s="254"/>
      <c r="E28" s="254"/>
      <c r="F28" s="254"/>
      <c r="G28" s="254"/>
      <c r="H28" s="253"/>
    </row>
    <row r="29" spans="1:8" ht="15.75" x14ac:dyDescent="0.3">
      <c r="A29" s="242" t="s">
        <v>241</v>
      </c>
      <c r="B29" s="243"/>
      <c r="C29" s="243"/>
      <c r="D29" s="243"/>
      <c r="E29" s="243"/>
      <c r="F29" s="243"/>
      <c r="G29" s="243"/>
      <c r="H29" s="252">
        <f>1+(B27*B28/(C17*(1-B28)))</f>
        <v>0.27144716219433462</v>
      </c>
    </row>
    <row r="31" spans="1:8" ht="14.25" x14ac:dyDescent="0.25">
      <c r="A31" s="167" t="s">
        <v>240</v>
      </c>
      <c r="B31" s="167"/>
      <c r="C31" s="167"/>
      <c r="D31" s="252">
        <f>IF(B28&lt;0,H24,H29)</f>
        <v>0.1217656053893444</v>
      </c>
    </row>
  </sheetData>
  <mergeCells count="3">
    <mergeCell ref="A1:J2"/>
    <mergeCell ref="A26:H26"/>
    <mergeCell ref="A22:H22"/>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Υπολογισμός CIPW norm κ.ά.</vt:lpstr>
      <vt:lpstr>Υπολογισμός Πυκνότητας Μαγμάτων</vt:lpstr>
      <vt:lpstr>Υπολογισμός Ιξώδους Μαγμάτων</vt:lpstr>
      <vt:lpstr>Μορ. Κλάσμα Η2Ο</vt:lpstr>
      <vt:lpstr>'Υπολογισμός CIPW norm κ.ά.'!Print_Area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M.</dc:creator>
  <cp:lastModifiedBy>Andreas Magganas</cp:lastModifiedBy>
  <dcterms:created xsi:type="dcterms:W3CDTF">2001-10-22T12:43:44Z</dcterms:created>
  <dcterms:modified xsi:type="dcterms:W3CDTF">2014-02-01T12:41:27Z</dcterms:modified>
</cp:coreProperties>
</file>