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exis\Desktop\"/>
    </mc:Choice>
  </mc:AlternateContent>
  <xr:revisionPtr revIDLastSave="0" documentId="13_ncr:1_{9C588570-C0A4-4D5D-882E-3444D8C6F270}" xr6:coauthVersionLast="47" xr6:coauthVersionMax="47" xr10:uidLastSave="{00000000-0000-0000-0000-000000000000}"/>
  <bookViews>
    <workbookView xWindow="-120" yWindow="-120" windowWidth="38640" windowHeight="21390" activeTab="2" xr2:uid="{00000000-000D-0000-FFFF-FFFF00000000}"/>
  </bookViews>
  <sheets>
    <sheet name="NELIOTA (p&lt;0.5)" sheetId="5" r:id="rId1"/>
    <sheet name="stat" sheetId="7" r:id="rId2"/>
    <sheet name="stat2" sheetId="8" r:id="rId3"/>
  </sheets>
  <calcPr calcId="191029"/>
</workbook>
</file>

<file path=xl/calcChain.xml><?xml version="1.0" encoding="utf-8"?>
<calcChain xmlns="http://schemas.openxmlformats.org/spreadsheetml/2006/main">
  <c r="L576" i="5" l="1"/>
  <c r="O470" i="5"/>
  <c r="Q526" i="7"/>
  <c r="U80" i="8"/>
  <c r="W80" i="8" s="1"/>
  <c r="V80" i="8"/>
  <c r="X80" i="8"/>
  <c r="F80" i="8" l="1"/>
  <c r="P567" i="5"/>
  <c r="K587" i="5"/>
  <c r="N567" i="5"/>
  <c r="O567" i="5" s="1"/>
  <c r="N566" i="5"/>
  <c r="O566" i="5" s="1"/>
  <c r="Q513" i="7"/>
  <c r="N565" i="5"/>
  <c r="O565" i="5" s="1"/>
  <c r="Q511" i="7"/>
  <c r="Q512" i="7"/>
  <c r="N564" i="5"/>
  <c r="O564" i="5" s="1"/>
  <c r="A511" i="7"/>
  <c r="B511" i="7"/>
  <c r="C511" i="7"/>
  <c r="D511" i="7"/>
  <c r="E511" i="7"/>
  <c r="G511" i="7"/>
  <c r="H511" i="7"/>
  <c r="I511" i="7"/>
  <c r="K511" i="7"/>
  <c r="L511" i="7"/>
  <c r="U511" i="7" s="1"/>
  <c r="X515" i="7" s="1"/>
  <c r="P511" i="7"/>
  <c r="A512" i="7"/>
  <c r="B512" i="7"/>
  <c r="C512" i="7"/>
  <c r="D512" i="7"/>
  <c r="E512" i="7"/>
  <c r="G512" i="7"/>
  <c r="H512" i="7"/>
  <c r="I512" i="7"/>
  <c r="K512" i="7"/>
  <c r="L512" i="7"/>
  <c r="U512" i="7" s="1"/>
  <c r="P512" i="7"/>
  <c r="A513" i="7"/>
  <c r="B513" i="7"/>
  <c r="C513" i="7"/>
  <c r="D513" i="7"/>
  <c r="E513" i="7"/>
  <c r="G513" i="7"/>
  <c r="H513" i="7"/>
  <c r="I513" i="7"/>
  <c r="K513" i="7"/>
  <c r="L513" i="7"/>
  <c r="U513" i="7" s="1"/>
  <c r="P513" i="7"/>
  <c r="A514" i="7"/>
  <c r="B514" i="7"/>
  <c r="C514" i="7"/>
  <c r="D514" i="7"/>
  <c r="E514" i="7"/>
  <c r="G514" i="7"/>
  <c r="H514" i="7"/>
  <c r="I514" i="7"/>
  <c r="K514" i="7"/>
  <c r="L514" i="7" s="1"/>
  <c r="U514" i="7" s="1"/>
  <c r="P514" i="7"/>
  <c r="Q514" i="7" s="1"/>
  <c r="A515" i="7"/>
  <c r="B515" i="7"/>
  <c r="C515" i="7"/>
  <c r="D515" i="7"/>
  <c r="E515" i="7"/>
  <c r="G515" i="7"/>
  <c r="H515" i="7"/>
  <c r="I515" i="7"/>
  <c r="K515" i="7"/>
  <c r="L515" i="7" s="1"/>
  <c r="U515" i="7" s="1"/>
  <c r="P515" i="7"/>
  <c r="Q515" i="7" s="1"/>
  <c r="N563" i="5"/>
  <c r="O563" i="5" s="1"/>
  <c r="V79" i="8"/>
  <c r="U79" i="8" s="1"/>
  <c r="U77" i="8"/>
  <c r="W77" i="8" s="1"/>
  <c r="V77" i="8"/>
  <c r="X77" i="8"/>
  <c r="V78" i="8"/>
  <c r="U78" i="8" s="1"/>
  <c r="F79" i="8"/>
  <c r="A510" i="7"/>
  <c r="B510" i="7"/>
  <c r="C510" i="7"/>
  <c r="D510" i="7"/>
  <c r="E510" i="7"/>
  <c r="G510" i="7"/>
  <c r="H510" i="7"/>
  <c r="I510" i="7"/>
  <c r="K510" i="7"/>
  <c r="L510" i="7" s="1"/>
  <c r="U510" i="7" s="1"/>
  <c r="P510" i="7"/>
  <c r="Q510" i="7" s="1"/>
  <c r="P562" i="5"/>
  <c r="N562" i="5"/>
  <c r="O562" i="5"/>
  <c r="A509" i="7"/>
  <c r="B509" i="7"/>
  <c r="C509" i="7"/>
  <c r="D509" i="7"/>
  <c r="E509" i="7"/>
  <c r="G509" i="7"/>
  <c r="H509" i="7"/>
  <c r="I509" i="7"/>
  <c r="K509" i="7"/>
  <c r="L509" i="7" s="1"/>
  <c r="P509" i="7"/>
  <c r="Q509" i="7" s="1"/>
  <c r="A508" i="7"/>
  <c r="B508" i="7"/>
  <c r="C508" i="7"/>
  <c r="D508" i="7"/>
  <c r="E508" i="7"/>
  <c r="G508" i="7"/>
  <c r="H508" i="7"/>
  <c r="I508" i="7"/>
  <c r="K508" i="7"/>
  <c r="L508" i="7" s="1"/>
  <c r="U508" i="7" s="1"/>
  <c r="P508" i="7"/>
  <c r="Q508" i="7" s="1"/>
  <c r="S515" i="7" l="1"/>
  <c r="S514" i="7"/>
  <c r="S513" i="7"/>
  <c r="S512" i="7"/>
  <c r="R515" i="7"/>
  <c r="T515" i="7" s="1"/>
  <c r="V515" i="7" s="1"/>
  <c r="R514" i="7"/>
  <c r="T514" i="7" s="1"/>
  <c r="W514" i="7" s="1"/>
  <c r="R513" i="7"/>
  <c r="T513" i="7" s="1"/>
  <c r="W513" i="7" s="1"/>
  <c r="R512" i="7"/>
  <c r="T512" i="7" s="1"/>
  <c r="W512" i="7" s="1"/>
  <c r="S511" i="7"/>
  <c r="R511" i="7"/>
  <c r="T511" i="7" s="1"/>
  <c r="V511" i="7" s="1"/>
  <c r="W79" i="8"/>
  <c r="X79" i="8"/>
  <c r="W78" i="8"/>
  <c r="X78" i="8"/>
  <c r="S510" i="7"/>
  <c r="R510" i="7"/>
  <c r="T510" i="7" s="1"/>
  <c r="V510" i="7" s="1"/>
  <c r="R509" i="7"/>
  <c r="T509" i="7" s="1"/>
  <c r="V509" i="7" s="1"/>
  <c r="S509" i="7"/>
  <c r="U509" i="7"/>
  <c r="S508" i="7"/>
  <c r="R508" i="7"/>
  <c r="T508" i="7" s="1"/>
  <c r="V508" i="7" s="1"/>
  <c r="N560" i="5"/>
  <c r="O560" i="5" s="1"/>
  <c r="G507" i="7"/>
  <c r="H507" i="7"/>
  <c r="I507" i="7"/>
  <c r="A507" i="7"/>
  <c r="B507" i="7"/>
  <c r="C507" i="7"/>
  <c r="D507" i="7"/>
  <c r="E507" i="7"/>
  <c r="K507" i="7"/>
  <c r="L507" i="7" s="1"/>
  <c r="P507" i="7"/>
  <c r="Q507" i="7" s="1"/>
  <c r="A503" i="7"/>
  <c r="B503" i="7"/>
  <c r="C503" i="7"/>
  <c r="D503" i="7"/>
  <c r="E503" i="7"/>
  <c r="G503" i="7"/>
  <c r="H503" i="7"/>
  <c r="I503" i="7"/>
  <c r="K503" i="7"/>
  <c r="L503" i="7" s="1"/>
  <c r="P503" i="7"/>
  <c r="Q503" i="7" s="1"/>
  <c r="R503" i="7" s="1"/>
  <c r="T503" i="7" s="1"/>
  <c r="A504" i="7"/>
  <c r="B504" i="7"/>
  <c r="C504" i="7"/>
  <c r="D504" i="7"/>
  <c r="E504" i="7"/>
  <c r="G504" i="7"/>
  <c r="H504" i="7"/>
  <c r="I504" i="7"/>
  <c r="K504" i="7"/>
  <c r="L504" i="7" s="1"/>
  <c r="U504" i="7" s="1"/>
  <c r="P504" i="7"/>
  <c r="Q504" i="7" s="1"/>
  <c r="A505" i="7"/>
  <c r="B505" i="7"/>
  <c r="C505" i="7"/>
  <c r="D505" i="7"/>
  <c r="E505" i="7"/>
  <c r="G505" i="7"/>
  <c r="H505" i="7"/>
  <c r="I505" i="7"/>
  <c r="K505" i="7"/>
  <c r="L505" i="7" s="1"/>
  <c r="P505" i="7"/>
  <c r="Q505" i="7" s="1"/>
  <c r="R505" i="7" s="1"/>
  <c r="T505" i="7" s="1"/>
  <c r="A506" i="7"/>
  <c r="B506" i="7"/>
  <c r="C506" i="7"/>
  <c r="D506" i="7"/>
  <c r="E506" i="7"/>
  <c r="G506" i="7"/>
  <c r="H506" i="7"/>
  <c r="I506" i="7"/>
  <c r="K506" i="7"/>
  <c r="L506" i="7" s="1"/>
  <c r="U506" i="7" s="1"/>
  <c r="P506" i="7"/>
  <c r="Q506" i="7" s="1"/>
  <c r="O559" i="5"/>
  <c r="N559" i="5"/>
  <c r="N554" i="5"/>
  <c r="F78" i="8"/>
  <c r="A502" i="7"/>
  <c r="B502" i="7"/>
  <c r="C502" i="7"/>
  <c r="D502" i="7"/>
  <c r="E502" i="7"/>
  <c r="G502" i="7"/>
  <c r="H502" i="7"/>
  <c r="I502" i="7"/>
  <c r="K502" i="7"/>
  <c r="L502" i="7" s="1"/>
  <c r="U502" i="7" s="1"/>
  <c r="P502" i="7"/>
  <c r="Q502" i="7" s="1"/>
  <c r="O554" i="5"/>
  <c r="A501" i="7"/>
  <c r="B501" i="7"/>
  <c r="C501" i="7"/>
  <c r="D501" i="7"/>
  <c r="E501" i="7"/>
  <c r="G501" i="7"/>
  <c r="H501" i="7"/>
  <c r="I501" i="7"/>
  <c r="K501" i="7"/>
  <c r="L501" i="7" s="1"/>
  <c r="P501" i="7"/>
  <c r="Q501" i="7" s="1"/>
  <c r="N553" i="5"/>
  <c r="O553" i="5" s="1"/>
  <c r="N552" i="5"/>
  <c r="O552" i="5"/>
  <c r="A499" i="7"/>
  <c r="B499" i="7"/>
  <c r="C499" i="7"/>
  <c r="D499" i="7"/>
  <c r="E499" i="7"/>
  <c r="G499" i="7"/>
  <c r="H499" i="7"/>
  <c r="I499" i="7"/>
  <c r="K499" i="7"/>
  <c r="L499" i="7" s="1"/>
  <c r="U499" i="7" s="1"/>
  <c r="P499" i="7"/>
  <c r="Q499" i="7" s="1"/>
  <c r="A500" i="7"/>
  <c r="B500" i="7"/>
  <c r="C500" i="7"/>
  <c r="D500" i="7"/>
  <c r="E500" i="7"/>
  <c r="G500" i="7"/>
  <c r="H500" i="7"/>
  <c r="I500" i="7"/>
  <c r="K500" i="7"/>
  <c r="L500" i="7" s="1"/>
  <c r="U500" i="7" s="1"/>
  <c r="P500" i="7"/>
  <c r="Q500" i="7" s="1"/>
  <c r="N551" i="5"/>
  <c r="O551" i="5" s="1"/>
  <c r="A496" i="7"/>
  <c r="B496" i="7"/>
  <c r="C496" i="7"/>
  <c r="D496" i="7"/>
  <c r="E496" i="7"/>
  <c r="G496" i="7"/>
  <c r="H496" i="7"/>
  <c r="I496" i="7"/>
  <c r="K496" i="7"/>
  <c r="L496" i="7" s="1"/>
  <c r="U496" i="7" s="1"/>
  <c r="P496" i="7"/>
  <c r="Q496" i="7" s="1"/>
  <c r="A497" i="7"/>
  <c r="B497" i="7"/>
  <c r="C497" i="7"/>
  <c r="D497" i="7"/>
  <c r="E497" i="7"/>
  <c r="G497" i="7"/>
  <c r="H497" i="7"/>
  <c r="I497" i="7"/>
  <c r="K497" i="7"/>
  <c r="L497" i="7" s="1"/>
  <c r="U497" i="7" s="1"/>
  <c r="P497" i="7"/>
  <c r="Q497" i="7" s="1"/>
  <c r="A498" i="7"/>
  <c r="B498" i="7"/>
  <c r="C498" i="7"/>
  <c r="D498" i="7"/>
  <c r="E498" i="7"/>
  <c r="G498" i="7"/>
  <c r="H498" i="7"/>
  <c r="I498" i="7"/>
  <c r="K498" i="7"/>
  <c r="L498" i="7" s="1"/>
  <c r="U498" i="7" s="1"/>
  <c r="P498" i="7"/>
  <c r="Q498" i="7" s="1"/>
  <c r="N548" i="5"/>
  <c r="O548" i="5" s="1"/>
  <c r="D77" i="8"/>
  <c r="F77" i="8"/>
  <c r="K547" i="5"/>
  <c r="L547" i="5" s="1"/>
  <c r="N547" i="5"/>
  <c r="O547" i="5" s="1"/>
  <c r="D72" i="8"/>
  <c r="D74" i="8"/>
  <c r="D75" i="8"/>
  <c r="N546" i="5"/>
  <c r="O546" i="5" s="1"/>
  <c r="D494" i="7"/>
  <c r="E494" i="7"/>
  <c r="G494" i="7"/>
  <c r="H494" i="7"/>
  <c r="I494" i="7"/>
  <c r="K494" i="7"/>
  <c r="L494" i="7" s="1"/>
  <c r="U494" i="7" s="1"/>
  <c r="D495" i="7"/>
  <c r="E495" i="7"/>
  <c r="G495" i="7"/>
  <c r="H495" i="7"/>
  <c r="I495" i="7"/>
  <c r="K495" i="7"/>
  <c r="L495" i="7" s="1"/>
  <c r="U495" i="7" s="1"/>
  <c r="A495" i="7"/>
  <c r="B495" i="7"/>
  <c r="C495" i="7"/>
  <c r="P495" i="7"/>
  <c r="Q495" i="7" s="1"/>
  <c r="A491" i="7"/>
  <c r="B491" i="7"/>
  <c r="C491" i="7"/>
  <c r="D491" i="7"/>
  <c r="E491" i="7"/>
  <c r="G491" i="7"/>
  <c r="H491" i="7"/>
  <c r="I491" i="7"/>
  <c r="K491" i="7"/>
  <c r="L491" i="7" s="1"/>
  <c r="P491" i="7"/>
  <c r="Q491" i="7" s="1"/>
  <c r="R491" i="7" s="1"/>
  <c r="T491" i="7" s="1"/>
  <c r="A492" i="7"/>
  <c r="B492" i="7"/>
  <c r="C492" i="7"/>
  <c r="D492" i="7"/>
  <c r="E492" i="7"/>
  <c r="G492" i="7"/>
  <c r="H492" i="7"/>
  <c r="I492" i="7"/>
  <c r="K492" i="7"/>
  <c r="L492" i="7"/>
  <c r="U492" i="7" s="1"/>
  <c r="P492" i="7"/>
  <c r="Q492" i="7" s="1"/>
  <c r="A493" i="7"/>
  <c r="B493" i="7"/>
  <c r="C493" i="7"/>
  <c r="D493" i="7"/>
  <c r="E493" i="7"/>
  <c r="G493" i="7"/>
  <c r="H493" i="7"/>
  <c r="I493" i="7"/>
  <c r="K493" i="7"/>
  <c r="L493" i="7" s="1"/>
  <c r="P493" i="7"/>
  <c r="Q493" i="7" s="1"/>
  <c r="A494" i="7"/>
  <c r="B494" i="7"/>
  <c r="C494" i="7"/>
  <c r="P494" i="7"/>
  <c r="Q494" i="7" s="1"/>
  <c r="A490" i="7"/>
  <c r="B490" i="7"/>
  <c r="C490" i="7"/>
  <c r="D490" i="7"/>
  <c r="E490" i="7"/>
  <c r="G490" i="7"/>
  <c r="H490" i="7"/>
  <c r="I490" i="7"/>
  <c r="K490" i="7"/>
  <c r="L490" i="7" s="1"/>
  <c r="U490" i="7" s="1"/>
  <c r="P490" i="7"/>
  <c r="Q490" i="7" s="1"/>
  <c r="N545" i="5"/>
  <c r="O545" i="5" s="1"/>
  <c r="S506" i="7" l="1"/>
  <c r="Y515" i="7"/>
  <c r="V514" i="7"/>
  <c r="V513" i="7"/>
  <c r="V512" i="7"/>
  <c r="Z515" i="7" s="1"/>
  <c r="W515" i="7"/>
  <c r="W511" i="7"/>
  <c r="AA515" i="7" s="1"/>
  <c r="W509" i="7"/>
  <c r="W508" i="7"/>
  <c r="W510" i="7"/>
  <c r="S504" i="7"/>
  <c r="R507" i="7"/>
  <c r="T507" i="7" s="1"/>
  <c r="S507" i="7"/>
  <c r="U507" i="7"/>
  <c r="V505" i="7"/>
  <c r="W505" i="7"/>
  <c r="R506" i="7"/>
  <c r="T506" i="7" s="1"/>
  <c r="S505" i="7"/>
  <c r="U505" i="7"/>
  <c r="V503" i="7"/>
  <c r="W503" i="7"/>
  <c r="R504" i="7"/>
  <c r="T504" i="7" s="1"/>
  <c r="U503" i="7"/>
  <c r="X510" i="7" s="1"/>
  <c r="S503" i="7"/>
  <c r="R500" i="7"/>
  <c r="T500" i="7" s="1"/>
  <c r="W500" i="7" s="1"/>
  <c r="S502" i="7"/>
  <c r="R502" i="7"/>
  <c r="T502" i="7" s="1"/>
  <c r="V502" i="7" s="1"/>
  <c r="R501" i="7"/>
  <c r="T501" i="7" s="1"/>
  <c r="S501" i="7"/>
  <c r="U501" i="7"/>
  <c r="X502" i="7" s="1"/>
  <c r="P554" i="5"/>
  <c r="S499" i="7"/>
  <c r="R499" i="7"/>
  <c r="T499" i="7" s="1"/>
  <c r="V499" i="7" s="1"/>
  <c r="S500" i="7"/>
  <c r="R498" i="7"/>
  <c r="T498" i="7" s="1"/>
  <c r="S498" i="7"/>
  <c r="R497" i="7"/>
  <c r="T497" i="7" s="1"/>
  <c r="S497" i="7"/>
  <c r="R496" i="7"/>
  <c r="T496" i="7" s="1"/>
  <c r="S496" i="7"/>
  <c r="R495" i="7"/>
  <c r="T495" i="7" s="1"/>
  <c r="W495" i="7" s="1"/>
  <c r="R494" i="7"/>
  <c r="T494" i="7" s="1"/>
  <c r="S494" i="7"/>
  <c r="S495" i="7"/>
  <c r="S493" i="7"/>
  <c r="U493" i="7"/>
  <c r="R493" i="7"/>
  <c r="T493" i="7" s="1"/>
  <c r="W491" i="7"/>
  <c r="V491" i="7"/>
  <c r="R492" i="7"/>
  <c r="T492" i="7" s="1"/>
  <c r="S491" i="7"/>
  <c r="U491" i="7"/>
  <c r="S492" i="7"/>
  <c r="R490" i="7"/>
  <c r="T490" i="7" s="1"/>
  <c r="W490" i="7" s="1"/>
  <c r="S490" i="7"/>
  <c r="P547" i="5"/>
  <c r="N544" i="5"/>
  <c r="O544" i="5" s="1"/>
  <c r="V76" i="8"/>
  <c r="U76" i="8"/>
  <c r="X76" i="8" s="1"/>
  <c r="F76" i="8"/>
  <c r="N541" i="5"/>
  <c r="O541" i="5" s="1"/>
  <c r="A489" i="7"/>
  <c r="B489" i="7"/>
  <c r="C489" i="7"/>
  <c r="D489" i="7"/>
  <c r="E489" i="7"/>
  <c r="G489" i="7"/>
  <c r="H489" i="7"/>
  <c r="I489" i="7"/>
  <c r="K489" i="7"/>
  <c r="L489" i="7" s="1"/>
  <c r="P489" i="7"/>
  <c r="A488" i="7"/>
  <c r="B488" i="7"/>
  <c r="C488" i="7"/>
  <c r="D488" i="7"/>
  <c r="E488" i="7"/>
  <c r="G488" i="7"/>
  <c r="H488" i="7"/>
  <c r="I488" i="7"/>
  <c r="K488" i="7"/>
  <c r="L488" i="7" s="1"/>
  <c r="U488" i="7" s="1"/>
  <c r="P488" i="7"/>
  <c r="Q488" i="7" s="1"/>
  <c r="N540" i="5"/>
  <c r="O540" i="5" s="1"/>
  <c r="A486" i="7"/>
  <c r="B486" i="7"/>
  <c r="C486" i="7"/>
  <c r="D486" i="7"/>
  <c r="E486" i="7"/>
  <c r="G486" i="7"/>
  <c r="H486" i="7"/>
  <c r="I486" i="7"/>
  <c r="K486" i="7"/>
  <c r="L486" i="7" s="1"/>
  <c r="P486" i="7"/>
  <c r="Q486" i="7" s="1"/>
  <c r="A487" i="7"/>
  <c r="B487" i="7"/>
  <c r="C487" i="7"/>
  <c r="D487" i="7"/>
  <c r="E487" i="7"/>
  <c r="G487" i="7"/>
  <c r="H487" i="7"/>
  <c r="I487" i="7"/>
  <c r="K487" i="7"/>
  <c r="L487" i="7" s="1"/>
  <c r="U487" i="7" s="1"/>
  <c r="P487" i="7"/>
  <c r="Q487" i="7" s="1"/>
  <c r="A485" i="7"/>
  <c r="B485" i="7"/>
  <c r="C485" i="7"/>
  <c r="D485" i="7"/>
  <c r="E485" i="7"/>
  <c r="G485" i="7"/>
  <c r="H485" i="7"/>
  <c r="I485" i="7"/>
  <c r="K485" i="7"/>
  <c r="L485" i="7" s="1"/>
  <c r="U485" i="7" s="1"/>
  <c r="P485" i="7"/>
  <c r="Q485" i="7" s="1"/>
  <c r="N539" i="5"/>
  <c r="O539" i="5" s="1"/>
  <c r="N538" i="5"/>
  <c r="O538" i="5" s="1"/>
  <c r="V75" i="8"/>
  <c r="U75" i="8" s="1"/>
  <c r="F75" i="8"/>
  <c r="K484" i="7"/>
  <c r="L484" i="7" s="1"/>
  <c r="U484" i="7" s="1"/>
  <c r="K483" i="7"/>
  <c r="L483" i="7" s="1"/>
  <c r="U483" i="7" s="1"/>
  <c r="K482" i="7"/>
  <c r="L482" i="7" s="1"/>
  <c r="U482" i="7" s="1"/>
  <c r="K481" i="7"/>
  <c r="L481" i="7" s="1"/>
  <c r="A482" i="7"/>
  <c r="B482" i="7"/>
  <c r="C482" i="7"/>
  <c r="D482" i="7"/>
  <c r="E482" i="7"/>
  <c r="G482" i="7"/>
  <c r="H482" i="7"/>
  <c r="I482" i="7"/>
  <c r="P482" i="7"/>
  <c r="Q482" i="7" s="1"/>
  <c r="A483" i="7"/>
  <c r="B483" i="7"/>
  <c r="C483" i="7"/>
  <c r="D483" i="7"/>
  <c r="E483" i="7"/>
  <c r="G483" i="7"/>
  <c r="H483" i="7"/>
  <c r="I483" i="7"/>
  <c r="P483" i="7"/>
  <c r="Q483" i="7" s="1"/>
  <c r="A484" i="7"/>
  <c r="B484" i="7"/>
  <c r="C484" i="7"/>
  <c r="D484" i="7"/>
  <c r="E484" i="7"/>
  <c r="G484" i="7"/>
  <c r="H484" i="7"/>
  <c r="I484" i="7"/>
  <c r="P484" i="7"/>
  <c r="Q484" i="7" s="1"/>
  <c r="P481" i="7"/>
  <c r="Q481" i="7" s="1"/>
  <c r="I481" i="7"/>
  <c r="H481" i="7"/>
  <c r="G481" i="7"/>
  <c r="E481" i="7"/>
  <c r="D481" i="7"/>
  <c r="C481" i="7"/>
  <c r="B481" i="7"/>
  <c r="A481" i="7"/>
  <c r="V500" i="7" l="1"/>
  <c r="V507" i="7"/>
  <c r="Y510" i="7"/>
  <c r="W507" i="7"/>
  <c r="W506" i="7"/>
  <c r="V506" i="7"/>
  <c r="V504" i="7"/>
  <c r="W504" i="7"/>
  <c r="X495" i="7"/>
  <c r="W502" i="7"/>
  <c r="V501" i="7"/>
  <c r="W501" i="7"/>
  <c r="W499" i="7"/>
  <c r="Y502" i="7"/>
  <c r="V498" i="7"/>
  <c r="W498" i="7"/>
  <c r="W497" i="7"/>
  <c r="V497" i="7"/>
  <c r="W496" i="7"/>
  <c r="V496" i="7"/>
  <c r="Q489" i="7"/>
  <c r="R489" i="7" s="1"/>
  <c r="T489" i="7" s="1"/>
  <c r="V495" i="7"/>
  <c r="W494" i="7"/>
  <c r="Y495" i="7"/>
  <c r="V494" i="7"/>
  <c r="S488" i="7"/>
  <c r="V490" i="7"/>
  <c r="W493" i="7"/>
  <c r="V493" i="7"/>
  <c r="V492" i="7"/>
  <c r="W492" i="7"/>
  <c r="W76" i="8"/>
  <c r="P541" i="5"/>
  <c r="U489" i="7"/>
  <c r="R488" i="7"/>
  <c r="T488" i="7" s="1"/>
  <c r="V488" i="7" s="1"/>
  <c r="U486" i="7"/>
  <c r="R486" i="7"/>
  <c r="T486" i="7" s="1"/>
  <c r="S486" i="7"/>
  <c r="R482" i="7"/>
  <c r="T482" i="7" s="1"/>
  <c r="W482" i="7" s="1"/>
  <c r="R487" i="7"/>
  <c r="T487" i="7" s="1"/>
  <c r="W487" i="7" s="1"/>
  <c r="S487" i="7"/>
  <c r="R484" i="7"/>
  <c r="T484" i="7" s="1"/>
  <c r="V484" i="7" s="1"/>
  <c r="R485" i="7"/>
  <c r="T485" i="7" s="1"/>
  <c r="W485" i="7" s="1"/>
  <c r="S485" i="7"/>
  <c r="W75" i="8"/>
  <c r="X75" i="8"/>
  <c r="R483" i="7"/>
  <c r="T483" i="7" s="1"/>
  <c r="V483" i="7" s="1"/>
  <c r="S483" i="7"/>
  <c r="S484" i="7"/>
  <c r="S482" i="7"/>
  <c r="R481" i="7"/>
  <c r="T481" i="7" s="1"/>
  <c r="S481" i="7"/>
  <c r="U481" i="7"/>
  <c r="X484" i="7" s="1"/>
  <c r="S489" i="7" l="1"/>
  <c r="Z510" i="7"/>
  <c r="AA510" i="7"/>
  <c r="Z502" i="7"/>
  <c r="AA502" i="7"/>
  <c r="W489" i="7"/>
  <c r="V489" i="7"/>
  <c r="X489" i="7"/>
  <c r="Y489" i="7" s="1"/>
  <c r="AA495" i="7"/>
  <c r="Z495" i="7"/>
  <c r="W484" i="7"/>
  <c r="V482" i="7"/>
  <c r="W488" i="7"/>
  <c r="W486" i="7"/>
  <c r="V486" i="7"/>
  <c r="V487" i="7"/>
  <c r="V485" i="7"/>
  <c r="W483" i="7"/>
  <c r="Y484" i="7"/>
  <c r="W481" i="7"/>
  <c r="V481" i="7"/>
  <c r="N535" i="5"/>
  <c r="O535" i="5" s="1"/>
  <c r="Z484" i="7" l="1"/>
  <c r="Z489" i="7"/>
  <c r="AA489" i="7"/>
  <c r="AA484" i="7"/>
  <c r="N534" i="5"/>
  <c r="O534" i="5" s="1"/>
  <c r="N532" i="5" l="1"/>
  <c r="O532" i="5" s="1"/>
  <c r="P535" i="5" s="1"/>
  <c r="V74" i="8" l="1"/>
  <c r="U74" i="8" s="1"/>
  <c r="F74" i="8"/>
  <c r="N528" i="5"/>
  <c r="O528" i="5" s="1"/>
  <c r="A480" i="7"/>
  <c r="B480" i="7"/>
  <c r="C480" i="7"/>
  <c r="D480" i="7"/>
  <c r="E480" i="7"/>
  <c r="G480" i="7"/>
  <c r="H480" i="7"/>
  <c r="I480" i="7"/>
  <c r="K480" i="7"/>
  <c r="L480" i="7" s="1"/>
  <c r="U480" i="7" s="1"/>
  <c r="P480" i="7"/>
  <c r="Q480" i="7" s="1"/>
  <c r="A478" i="7"/>
  <c r="B478" i="7"/>
  <c r="C478" i="7"/>
  <c r="D478" i="7"/>
  <c r="E478" i="7"/>
  <c r="G478" i="7"/>
  <c r="H478" i="7"/>
  <c r="I478" i="7"/>
  <c r="K478" i="7"/>
  <c r="L478" i="7" s="1"/>
  <c r="U478" i="7" s="1"/>
  <c r="P478" i="7"/>
  <c r="Q478" i="7" s="1"/>
  <c r="A479" i="7"/>
  <c r="B479" i="7"/>
  <c r="C479" i="7"/>
  <c r="D479" i="7"/>
  <c r="E479" i="7"/>
  <c r="G479" i="7"/>
  <c r="H479" i="7"/>
  <c r="I479" i="7"/>
  <c r="K479" i="7"/>
  <c r="L479" i="7" s="1"/>
  <c r="U479" i="7" s="1"/>
  <c r="P479" i="7"/>
  <c r="Q479" i="7" s="1"/>
  <c r="A476" i="7"/>
  <c r="B476" i="7"/>
  <c r="C476" i="7"/>
  <c r="D476" i="7"/>
  <c r="E476" i="7"/>
  <c r="G476" i="7"/>
  <c r="H476" i="7"/>
  <c r="I476" i="7"/>
  <c r="K476" i="7"/>
  <c r="L476" i="7" s="1"/>
  <c r="U476" i="7" s="1"/>
  <c r="P476" i="7"/>
  <c r="Q476" i="7" s="1"/>
  <c r="A477" i="7"/>
  <c r="B477" i="7"/>
  <c r="C477" i="7"/>
  <c r="D477" i="7"/>
  <c r="E477" i="7"/>
  <c r="G477" i="7"/>
  <c r="H477" i="7"/>
  <c r="I477" i="7"/>
  <c r="K477" i="7"/>
  <c r="L477" i="7" s="1"/>
  <c r="P477" i="7"/>
  <c r="Q477" i="7" s="1"/>
  <c r="R478" i="7" l="1"/>
  <c r="T478" i="7" s="1"/>
  <c r="R476" i="7"/>
  <c r="T476" i="7" s="1"/>
  <c r="V476" i="7" s="1"/>
  <c r="X74" i="8"/>
  <c r="W74" i="8"/>
  <c r="R480" i="7"/>
  <c r="T480" i="7" s="1"/>
  <c r="V480" i="7" s="1"/>
  <c r="S477" i="7"/>
  <c r="S480" i="7"/>
  <c r="V478" i="7"/>
  <c r="W478" i="7"/>
  <c r="R479" i="7"/>
  <c r="T479" i="7" s="1"/>
  <c r="S479" i="7"/>
  <c r="S478" i="7"/>
  <c r="R477" i="7"/>
  <c r="T477" i="7" s="1"/>
  <c r="V477" i="7" s="1"/>
  <c r="U477" i="7"/>
  <c r="X480" i="7" s="1"/>
  <c r="S476" i="7"/>
  <c r="N526" i="5"/>
  <c r="O526" i="5" s="1"/>
  <c r="W476" i="7" l="1"/>
  <c r="W480" i="7"/>
  <c r="Y480" i="7"/>
  <c r="W477" i="7"/>
  <c r="V479" i="7"/>
  <c r="Z480" i="7" s="1"/>
  <c r="W479" i="7"/>
  <c r="N525" i="5"/>
  <c r="O525" i="5" s="1"/>
  <c r="P530" i="5" s="1"/>
  <c r="AA480" i="7" l="1"/>
  <c r="V73" i="8"/>
  <c r="U73" i="8" s="1"/>
  <c r="F73" i="8"/>
  <c r="A472" i="7"/>
  <c r="B472" i="7"/>
  <c r="C472" i="7"/>
  <c r="D472" i="7"/>
  <c r="E472" i="7"/>
  <c r="G472" i="7"/>
  <c r="H472" i="7"/>
  <c r="I472" i="7"/>
  <c r="K472" i="7"/>
  <c r="L472" i="7" s="1"/>
  <c r="U472" i="7" s="1"/>
  <c r="P472" i="7"/>
  <c r="Q472" i="7" s="1"/>
  <c r="A473" i="7"/>
  <c r="B473" i="7"/>
  <c r="C473" i="7"/>
  <c r="D473" i="7"/>
  <c r="E473" i="7"/>
  <c r="G473" i="7"/>
  <c r="H473" i="7"/>
  <c r="I473" i="7"/>
  <c r="K473" i="7"/>
  <c r="L473" i="7" s="1"/>
  <c r="U473" i="7" s="1"/>
  <c r="P473" i="7"/>
  <c r="Q473" i="7" s="1"/>
  <c r="A474" i="7"/>
  <c r="B474" i="7"/>
  <c r="C474" i="7"/>
  <c r="D474" i="7"/>
  <c r="E474" i="7"/>
  <c r="G474" i="7"/>
  <c r="H474" i="7"/>
  <c r="I474" i="7"/>
  <c r="K474" i="7"/>
  <c r="L474" i="7" s="1"/>
  <c r="P474" i="7"/>
  <c r="Q474" i="7" s="1"/>
  <c r="A475" i="7"/>
  <c r="B475" i="7"/>
  <c r="C475" i="7"/>
  <c r="D475" i="7"/>
  <c r="E475" i="7"/>
  <c r="G475" i="7"/>
  <c r="H475" i="7"/>
  <c r="I475" i="7"/>
  <c r="K475" i="7"/>
  <c r="L475" i="7" s="1"/>
  <c r="U475" i="7" s="1"/>
  <c r="P475" i="7"/>
  <c r="Q475" i="7" s="1"/>
  <c r="R472" i="7" l="1"/>
  <c r="T472" i="7" s="1"/>
  <c r="V472" i="7" s="1"/>
  <c r="W73" i="8"/>
  <c r="X73" i="8"/>
  <c r="R474" i="7"/>
  <c r="T474" i="7" s="1"/>
  <c r="W474" i="7" s="1"/>
  <c r="S475" i="7"/>
  <c r="R473" i="7"/>
  <c r="T473" i="7" s="1"/>
  <c r="R475" i="7"/>
  <c r="T475" i="7" s="1"/>
  <c r="S474" i="7"/>
  <c r="U474" i="7"/>
  <c r="S473" i="7"/>
  <c r="S472" i="7"/>
  <c r="A471" i="7"/>
  <c r="B471" i="7"/>
  <c r="C471" i="7"/>
  <c r="D471" i="7"/>
  <c r="E471" i="7"/>
  <c r="G471" i="7"/>
  <c r="H471" i="7"/>
  <c r="I471" i="7"/>
  <c r="K471" i="7"/>
  <c r="L471" i="7" s="1"/>
  <c r="U471" i="7" s="1"/>
  <c r="P471" i="7"/>
  <c r="Q471" i="7" s="1"/>
  <c r="A470" i="7"/>
  <c r="B470" i="7"/>
  <c r="C470" i="7"/>
  <c r="D470" i="7"/>
  <c r="E470" i="7"/>
  <c r="G470" i="7"/>
  <c r="H470" i="7"/>
  <c r="I470" i="7"/>
  <c r="K470" i="7"/>
  <c r="L470" i="7" s="1"/>
  <c r="U470" i="7" s="1"/>
  <c r="P470" i="7"/>
  <c r="Q470" i="7" s="1"/>
  <c r="A469" i="7"/>
  <c r="B469" i="7"/>
  <c r="C469" i="7"/>
  <c r="D469" i="7"/>
  <c r="E469" i="7"/>
  <c r="G469" i="7"/>
  <c r="H469" i="7"/>
  <c r="I469" i="7"/>
  <c r="K469" i="7"/>
  <c r="L469" i="7" s="1"/>
  <c r="U469" i="7" s="1"/>
  <c r="P469" i="7"/>
  <c r="Q469" i="7" s="1"/>
  <c r="V474" i="7" l="1"/>
  <c r="W472" i="7"/>
  <c r="R471" i="7"/>
  <c r="T471" i="7" s="1"/>
  <c r="V471" i="7" s="1"/>
  <c r="X475" i="7"/>
  <c r="V475" i="7"/>
  <c r="W475" i="7"/>
  <c r="V473" i="7"/>
  <c r="W473" i="7"/>
  <c r="S471" i="7"/>
  <c r="R470" i="7"/>
  <c r="T470" i="7" s="1"/>
  <c r="W470" i="7" s="1"/>
  <c r="R469" i="7"/>
  <c r="T469" i="7" s="1"/>
  <c r="W469" i="7" s="1"/>
  <c r="S470" i="7"/>
  <c r="S469" i="7"/>
  <c r="L517" i="5"/>
  <c r="N517" i="5"/>
  <c r="O517" i="5" s="1"/>
  <c r="P523" i="5" s="1"/>
  <c r="W471" i="7" l="1"/>
  <c r="AA475" i="7" s="1"/>
  <c r="Y475" i="7"/>
  <c r="V470" i="7"/>
  <c r="V469" i="7"/>
  <c r="V68" i="8"/>
  <c r="V69" i="8"/>
  <c r="V70" i="8"/>
  <c r="V71" i="8"/>
  <c r="V72" i="8"/>
  <c r="U72" i="8" s="1"/>
  <c r="W72" i="8" s="1"/>
  <c r="F72" i="8"/>
  <c r="Z475" i="7" l="1"/>
  <c r="X72" i="8"/>
  <c r="A468" i="7"/>
  <c r="B468" i="7"/>
  <c r="C468" i="7"/>
  <c r="D468" i="7"/>
  <c r="E468" i="7"/>
  <c r="G468" i="7"/>
  <c r="H468" i="7"/>
  <c r="I468" i="7"/>
  <c r="K468" i="7"/>
  <c r="L468" i="7" s="1"/>
  <c r="U468" i="7" s="1"/>
  <c r="P468" i="7"/>
  <c r="Q468" i="7" s="1"/>
  <c r="S468" i="7" l="1"/>
  <c r="R468" i="7"/>
  <c r="T468" i="7" s="1"/>
  <c r="V468" i="7" s="1"/>
  <c r="A467" i="7"/>
  <c r="B467" i="7"/>
  <c r="C467" i="7"/>
  <c r="D467" i="7"/>
  <c r="E467" i="7"/>
  <c r="G467" i="7"/>
  <c r="H467" i="7"/>
  <c r="I467" i="7"/>
  <c r="K467" i="7"/>
  <c r="L467" i="7" s="1"/>
  <c r="P467" i="7"/>
  <c r="Q467" i="7" s="1"/>
  <c r="N514" i="5"/>
  <c r="O514" i="5" s="1"/>
  <c r="W468" i="7" l="1"/>
  <c r="U467" i="7"/>
  <c r="R467" i="7"/>
  <c r="T467" i="7" s="1"/>
  <c r="W467" i="7" s="1"/>
  <c r="S467" i="7"/>
  <c r="A466" i="7"/>
  <c r="B466" i="7"/>
  <c r="C466" i="7"/>
  <c r="D466" i="7"/>
  <c r="E466" i="7"/>
  <c r="G466" i="7"/>
  <c r="H466" i="7"/>
  <c r="I466" i="7"/>
  <c r="K466" i="7"/>
  <c r="L466" i="7" s="1"/>
  <c r="P466" i="7"/>
  <c r="Q466" i="7" s="1"/>
  <c r="N513" i="5"/>
  <c r="O513" i="5" s="1"/>
  <c r="V467" i="7" l="1"/>
  <c r="R466" i="7"/>
  <c r="T466" i="7" s="1"/>
  <c r="V466" i="7" s="1"/>
  <c r="U466" i="7"/>
  <c r="S466" i="7"/>
  <c r="A464" i="7"/>
  <c r="B464" i="7"/>
  <c r="C464" i="7"/>
  <c r="D464" i="7"/>
  <c r="E464" i="7"/>
  <c r="G464" i="7"/>
  <c r="H464" i="7"/>
  <c r="I464" i="7"/>
  <c r="K464" i="7"/>
  <c r="L464" i="7" s="1"/>
  <c r="P464" i="7"/>
  <c r="Q464" i="7" s="1"/>
  <c r="A465" i="7"/>
  <c r="B465" i="7"/>
  <c r="C465" i="7"/>
  <c r="D465" i="7"/>
  <c r="E465" i="7"/>
  <c r="G465" i="7"/>
  <c r="H465" i="7"/>
  <c r="I465" i="7"/>
  <c r="K465" i="7"/>
  <c r="L465" i="7" s="1"/>
  <c r="U465" i="7" s="1"/>
  <c r="P465" i="7"/>
  <c r="Q465" i="7" s="1"/>
  <c r="W466" i="7" l="1"/>
  <c r="R465" i="7"/>
  <c r="T465" i="7" s="1"/>
  <c r="S465" i="7"/>
  <c r="R464" i="7"/>
  <c r="T464" i="7" s="1"/>
  <c r="V464" i="7" s="1"/>
  <c r="S464" i="7"/>
  <c r="U464" i="7"/>
  <c r="A463" i="7"/>
  <c r="B463" i="7"/>
  <c r="C463" i="7"/>
  <c r="D463" i="7"/>
  <c r="E463" i="7"/>
  <c r="G463" i="7"/>
  <c r="H463" i="7"/>
  <c r="I463" i="7"/>
  <c r="K463" i="7"/>
  <c r="L463" i="7" s="1"/>
  <c r="U463" i="7" s="1"/>
  <c r="P463" i="7"/>
  <c r="Q463" i="7" s="1"/>
  <c r="N510" i="5"/>
  <c r="O510" i="5" s="1"/>
  <c r="S463" i="7" l="1"/>
  <c r="W464" i="7"/>
  <c r="V465" i="7"/>
  <c r="W465" i="7"/>
  <c r="R463" i="7"/>
  <c r="T463" i="7" s="1"/>
  <c r="W463" i="7" s="1"/>
  <c r="A462" i="7"/>
  <c r="B462" i="7"/>
  <c r="C462" i="7"/>
  <c r="D462" i="7"/>
  <c r="E462" i="7"/>
  <c r="G462" i="7"/>
  <c r="H462" i="7"/>
  <c r="I462" i="7"/>
  <c r="K462" i="7"/>
  <c r="L462" i="7" s="1"/>
  <c r="U462" i="7" s="1"/>
  <c r="X468" i="7" s="1"/>
  <c r="P462" i="7"/>
  <c r="Q462" i="7" s="1"/>
  <c r="N509" i="5"/>
  <c r="O509" i="5" s="1"/>
  <c r="P515" i="5" s="1"/>
  <c r="V463" i="7" l="1"/>
  <c r="S462" i="7"/>
  <c r="R462" i="7"/>
  <c r="T462" i="7" s="1"/>
  <c r="V462" i="7" s="1"/>
  <c r="U71" i="8"/>
  <c r="W71" i="8" s="1"/>
  <c r="F71" i="8"/>
  <c r="A461" i="7"/>
  <c r="B461" i="7"/>
  <c r="C461" i="7"/>
  <c r="D461" i="7"/>
  <c r="E461" i="7"/>
  <c r="G461" i="7"/>
  <c r="H461" i="7"/>
  <c r="I461" i="7"/>
  <c r="K461" i="7"/>
  <c r="L461" i="7" s="1"/>
  <c r="U461" i="7" s="1"/>
  <c r="P461" i="7"/>
  <c r="Q461" i="7" s="1"/>
  <c r="A455" i="7"/>
  <c r="B455" i="7"/>
  <c r="C455" i="7"/>
  <c r="D455" i="7"/>
  <c r="E455" i="7"/>
  <c r="G455" i="7"/>
  <c r="H455" i="7"/>
  <c r="I455" i="7"/>
  <c r="K455" i="7"/>
  <c r="L455" i="7" s="1"/>
  <c r="U455" i="7" s="1"/>
  <c r="P455" i="7"/>
  <c r="Q455" i="7" s="1"/>
  <c r="A456" i="7"/>
  <c r="B456" i="7"/>
  <c r="C456" i="7"/>
  <c r="D456" i="7"/>
  <c r="E456" i="7"/>
  <c r="G456" i="7"/>
  <c r="H456" i="7"/>
  <c r="I456" i="7"/>
  <c r="K456" i="7"/>
  <c r="L456" i="7" s="1"/>
  <c r="P456" i="7"/>
  <c r="Q456" i="7" s="1"/>
  <c r="A457" i="7"/>
  <c r="B457" i="7"/>
  <c r="C457" i="7"/>
  <c r="D457" i="7"/>
  <c r="E457" i="7"/>
  <c r="G457" i="7"/>
  <c r="H457" i="7"/>
  <c r="I457" i="7"/>
  <c r="K457" i="7"/>
  <c r="L457" i="7" s="1"/>
  <c r="P457" i="7"/>
  <c r="Q457" i="7" s="1"/>
  <c r="A458" i="7"/>
  <c r="B458" i="7"/>
  <c r="C458" i="7"/>
  <c r="D458" i="7"/>
  <c r="E458" i="7"/>
  <c r="G458" i="7"/>
  <c r="H458" i="7"/>
  <c r="I458" i="7"/>
  <c r="K458" i="7"/>
  <c r="L458" i="7" s="1"/>
  <c r="P458" i="7"/>
  <c r="Q458" i="7" s="1"/>
  <c r="A459" i="7"/>
  <c r="B459" i="7"/>
  <c r="C459" i="7"/>
  <c r="D459" i="7"/>
  <c r="E459" i="7"/>
  <c r="G459" i="7"/>
  <c r="H459" i="7"/>
  <c r="I459" i="7"/>
  <c r="K459" i="7"/>
  <c r="L459" i="7" s="1"/>
  <c r="P459" i="7"/>
  <c r="Q459" i="7" s="1"/>
  <c r="A460" i="7"/>
  <c r="B460" i="7"/>
  <c r="C460" i="7"/>
  <c r="D460" i="7"/>
  <c r="E460" i="7"/>
  <c r="G460" i="7"/>
  <c r="H460" i="7"/>
  <c r="I460" i="7"/>
  <c r="K460" i="7"/>
  <c r="L460" i="7" s="1"/>
  <c r="P460" i="7"/>
  <c r="Q460" i="7" s="1"/>
  <c r="R459" i="7" l="1"/>
  <c r="T459" i="7" s="1"/>
  <c r="W459" i="7" s="1"/>
  <c r="R457" i="7"/>
  <c r="T457" i="7" s="1"/>
  <c r="V457" i="7" s="1"/>
  <c r="R455" i="7"/>
  <c r="T455" i="7" s="1"/>
  <c r="V455" i="7" s="1"/>
  <c r="Z468" i="7"/>
  <c r="Y468" i="7"/>
  <c r="W462" i="7"/>
  <c r="AA468" i="7" s="1"/>
  <c r="S461" i="7"/>
  <c r="X71" i="8"/>
  <c r="R461" i="7"/>
  <c r="T461" i="7" s="1"/>
  <c r="V461" i="7" s="1"/>
  <c r="S460" i="7"/>
  <c r="S456" i="7"/>
  <c r="R456" i="7"/>
  <c r="T456" i="7" s="1"/>
  <c r="R460" i="7"/>
  <c r="T460" i="7" s="1"/>
  <c r="S459" i="7"/>
  <c r="U459" i="7"/>
  <c r="S458" i="7"/>
  <c r="R458" i="7"/>
  <c r="T458" i="7" s="1"/>
  <c r="S457" i="7"/>
  <c r="U457" i="7"/>
  <c r="U460" i="7"/>
  <c r="U458" i="7"/>
  <c r="U456" i="7"/>
  <c r="S455" i="7"/>
  <c r="N503" i="5"/>
  <c r="O503" i="5" s="1"/>
  <c r="W457" i="7" l="1"/>
  <c r="W455" i="7"/>
  <c r="V459" i="7"/>
  <c r="X461" i="7"/>
  <c r="Y461" i="7" s="1"/>
  <c r="W461" i="7"/>
  <c r="W456" i="7"/>
  <c r="V456" i="7"/>
  <c r="W458" i="7"/>
  <c r="V458" i="7"/>
  <c r="W460" i="7"/>
  <c r="V460" i="7"/>
  <c r="N502" i="5"/>
  <c r="O502" i="5" s="1"/>
  <c r="P508" i="5" s="1"/>
  <c r="Z461" i="7" l="1"/>
  <c r="AA461" i="7"/>
  <c r="U70" i="8"/>
  <c r="W70" i="8" s="1"/>
  <c r="X70" i="8" l="1"/>
  <c r="F70" i="8" l="1"/>
  <c r="A454" i="7"/>
  <c r="B454" i="7"/>
  <c r="C454" i="7"/>
  <c r="D454" i="7"/>
  <c r="E454" i="7"/>
  <c r="G454" i="7"/>
  <c r="H454" i="7"/>
  <c r="I454" i="7"/>
  <c r="K454" i="7"/>
  <c r="L454" i="7" s="1"/>
  <c r="U454" i="7" s="1"/>
  <c r="P454" i="7"/>
  <c r="Q454" i="7" s="1"/>
  <c r="K501" i="5"/>
  <c r="L501" i="5" s="1"/>
  <c r="S454" i="7" l="1"/>
  <c r="R454" i="7"/>
  <c r="T454" i="7" s="1"/>
  <c r="V454" i="7" s="1"/>
  <c r="N501" i="5"/>
  <c r="O501" i="5"/>
  <c r="W454" i="7" l="1"/>
  <c r="A453" i="7"/>
  <c r="B453" i="7"/>
  <c r="C453" i="7"/>
  <c r="D453" i="7"/>
  <c r="E453" i="7"/>
  <c r="G453" i="7"/>
  <c r="H453" i="7"/>
  <c r="I453" i="7"/>
  <c r="K453" i="7"/>
  <c r="L453" i="7" s="1"/>
  <c r="U453" i="7" s="1"/>
  <c r="P453" i="7"/>
  <c r="Q453" i="7" s="1"/>
  <c r="N500" i="5"/>
  <c r="O500" i="5" s="1"/>
  <c r="S453" i="7" l="1"/>
  <c r="R453" i="7"/>
  <c r="T453" i="7" s="1"/>
  <c r="W453" i="7" s="1"/>
  <c r="A452" i="7"/>
  <c r="B452" i="7"/>
  <c r="C452" i="7"/>
  <c r="D452" i="7"/>
  <c r="E452" i="7"/>
  <c r="G452" i="7"/>
  <c r="H452" i="7"/>
  <c r="I452" i="7"/>
  <c r="K452" i="7"/>
  <c r="L452" i="7" s="1"/>
  <c r="P452" i="7"/>
  <c r="Q452" i="7" s="1"/>
  <c r="N499" i="5"/>
  <c r="O499" i="5" s="1"/>
  <c r="V453" i="7" l="1"/>
  <c r="R452" i="7"/>
  <c r="T452" i="7" s="1"/>
  <c r="W452" i="7" s="1"/>
  <c r="S452" i="7"/>
  <c r="U452" i="7"/>
  <c r="A451" i="7"/>
  <c r="B451" i="7"/>
  <c r="C451" i="7"/>
  <c r="D451" i="7"/>
  <c r="E451" i="7"/>
  <c r="G451" i="7"/>
  <c r="H451" i="7"/>
  <c r="I451" i="7"/>
  <c r="K451" i="7"/>
  <c r="L451" i="7" s="1"/>
  <c r="P451" i="7"/>
  <c r="Q451" i="7" s="1"/>
  <c r="N498" i="5"/>
  <c r="O498" i="5" s="1"/>
  <c r="U451" i="7" l="1"/>
  <c r="R451" i="7"/>
  <c r="T451" i="7" s="1"/>
  <c r="V451" i="7" s="1"/>
  <c r="S451" i="7"/>
  <c r="V452" i="7"/>
  <c r="A450" i="7"/>
  <c r="B450" i="7"/>
  <c r="C450" i="7"/>
  <c r="D450" i="7"/>
  <c r="E450" i="7"/>
  <c r="G450" i="7"/>
  <c r="H450" i="7"/>
  <c r="I450" i="7"/>
  <c r="K450" i="7"/>
  <c r="L450" i="7" s="1"/>
  <c r="U450" i="7" s="1"/>
  <c r="P450" i="7"/>
  <c r="Q450" i="7" s="1"/>
  <c r="N497" i="5"/>
  <c r="O497" i="5" s="1"/>
  <c r="W451" i="7" l="1"/>
  <c r="S450" i="7"/>
  <c r="R450" i="7"/>
  <c r="T450" i="7" s="1"/>
  <c r="V450" i="7" s="1"/>
  <c r="A449" i="7"/>
  <c r="B449" i="7"/>
  <c r="C449" i="7"/>
  <c r="D449" i="7"/>
  <c r="E449" i="7"/>
  <c r="G449" i="7"/>
  <c r="H449" i="7"/>
  <c r="I449" i="7"/>
  <c r="K449" i="7"/>
  <c r="L449" i="7" s="1"/>
  <c r="U449" i="7" s="1"/>
  <c r="P449" i="7"/>
  <c r="Q449" i="7" s="1"/>
  <c r="N496" i="5"/>
  <c r="O496" i="5" s="1"/>
  <c r="R449" i="7" l="1"/>
  <c r="T449" i="7" s="1"/>
  <c r="W449" i="7" s="1"/>
  <c r="S449" i="7"/>
  <c r="W450" i="7"/>
  <c r="A448" i="7"/>
  <c r="B448" i="7"/>
  <c r="C448" i="7"/>
  <c r="D448" i="7"/>
  <c r="E448" i="7"/>
  <c r="G448" i="7"/>
  <c r="H448" i="7"/>
  <c r="I448" i="7"/>
  <c r="K448" i="7"/>
  <c r="L448" i="7" s="1"/>
  <c r="U448" i="7" s="1"/>
  <c r="P448" i="7"/>
  <c r="Q448" i="7" s="1"/>
  <c r="N495" i="5"/>
  <c r="O495" i="5" s="1"/>
  <c r="L495" i="5"/>
  <c r="V449" i="7" l="1"/>
  <c r="S448" i="7"/>
  <c r="R448" i="7"/>
  <c r="T448" i="7" s="1"/>
  <c r="V448" i="7" s="1"/>
  <c r="A447" i="7"/>
  <c r="B447" i="7"/>
  <c r="C447" i="7"/>
  <c r="D447" i="7"/>
  <c r="E447" i="7"/>
  <c r="G447" i="7"/>
  <c r="H447" i="7"/>
  <c r="I447" i="7"/>
  <c r="K447" i="7"/>
  <c r="L447" i="7" s="1"/>
  <c r="U447" i="7" s="1"/>
  <c r="X454" i="7" s="1"/>
  <c r="P447" i="7"/>
  <c r="Q447" i="7" s="1"/>
  <c r="N494" i="5"/>
  <c r="O494" i="5" s="1"/>
  <c r="P501" i="5" s="1"/>
  <c r="W448" i="7" l="1"/>
  <c r="S447" i="7"/>
  <c r="R447" i="7"/>
  <c r="T447" i="7" s="1"/>
  <c r="V447" i="7" s="1"/>
  <c r="Z454" i="7" s="1"/>
  <c r="U69" i="8"/>
  <c r="W69" i="8" s="1"/>
  <c r="D69" i="8"/>
  <c r="F69" i="8"/>
  <c r="A446" i="7"/>
  <c r="B446" i="7"/>
  <c r="C446" i="7"/>
  <c r="D446" i="7"/>
  <c r="E446" i="7"/>
  <c r="G446" i="7"/>
  <c r="H446" i="7"/>
  <c r="I446" i="7"/>
  <c r="K446" i="7"/>
  <c r="L446" i="7" s="1"/>
  <c r="U446" i="7" s="1"/>
  <c r="P446" i="7"/>
  <c r="Q446" i="7" s="1"/>
  <c r="A445" i="7"/>
  <c r="B445" i="7"/>
  <c r="C445" i="7"/>
  <c r="D445" i="7"/>
  <c r="E445" i="7"/>
  <c r="G445" i="7"/>
  <c r="H445" i="7"/>
  <c r="I445" i="7"/>
  <c r="K445" i="7"/>
  <c r="L445" i="7" s="1"/>
  <c r="P445" i="7"/>
  <c r="Q445" i="7"/>
  <c r="N493" i="5"/>
  <c r="O493" i="5" s="1"/>
  <c r="R445" i="7" l="1"/>
  <c r="T445" i="7" s="1"/>
  <c r="W445" i="7" s="1"/>
  <c r="Y454" i="7"/>
  <c r="W447" i="7"/>
  <c r="AA454" i="7" s="1"/>
  <c r="R446" i="7"/>
  <c r="T446" i="7" s="1"/>
  <c r="V446" i="7" s="1"/>
  <c r="X69" i="8"/>
  <c r="S446" i="7"/>
  <c r="S445" i="7"/>
  <c r="U445" i="7"/>
  <c r="N491" i="5"/>
  <c r="O491" i="5" s="1"/>
  <c r="V445" i="7" l="1"/>
  <c r="W446" i="7"/>
  <c r="A442" i="7"/>
  <c r="B442" i="7"/>
  <c r="C442" i="7"/>
  <c r="D442" i="7"/>
  <c r="E442" i="7"/>
  <c r="G442" i="7"/>
  <c r="H442" i="7"/>
  <c r="I442" i="7"/>
  <c r="K442" i="7"/>
  <c r="L442" i="7" s="1"/>
  <c r="U442" i="7" s="1"/>
  <c r="P442" i="7"/>
  <c r="Q442" i="7" s="1"/>
  <c r="A443" i="7"/>
  <c r="B443" i="7"/>
  <c r="C443" i="7"/>
  <c r="D443" i="7"/>
  <c r="E443" i="7"/>
  <c r="G443" i="7"/>
  <c r="H443" i="7"/>
  <c r="I443" i="7"/>
  <c r="K443" i="7"/>
  <c r="L443" i="7" s="1"/>
  <c r="U443" i="7" s="1"/>
  <c r="P443" i="7"/>
  <c r="Q443" i="7" s="1"/>
  <c r="A444" i="7"/>
  <c r="B444" i="7"/>
  <c r="C444" i="7"/>
  <c r="D444" i="7"/>
  <c r="E444" i="7"/>
  <c r="G444" i="7"/>
  <c r="H444" i="7"/>
  <c r="I444" i="7"/>
  <c r="K444" i="7"/>
  <c r="L444" i="7" s="1"/>
  <c r="U444" i="7" s="1"/>
  <c r="P444" i="7"/>
  <c r="Q444" i="7" s="1"/>
  <c r="N490" i="5"/>
  <c r="O490" i="5" s="1"/>
  <c r="S444" i="7" l="1"/>
  <c r="S442" i="7"/>
  <c r="R442" i="7"/>
  <c r="T442" i="7" s="1"/>
  <c r="V442" i="7" s="1"/>
  <c r="S443" i="7"/>
  <c r="R443" i="7"/>
  <c r="T443" i="7" s="1"/>
  <c r="W443" i="7" s="1"/>
  <c r="R444" i="7"/>
  <c r="T444" i="7" s="1"/>
  <c r="K489" i="5"/>
  <c r="L489" i="5"/>
  <c r="N489" i="5"/>
  <c r="O489" i="5" s="1"/>
  <c r="W442" i="7" l="1"/>
  <c r="V443" i="7"/>
  <c r="V444" i="7"/>
  <c r="W444" i="7"/>
  <c r="A441" i="7"/>
  <c r="B441" i="7"/>
  <c r="C441" i="7"/>
  <c r="D441" i="7"/>
  <c r="E441" i="7"/>
  <c r="G441" i="7"/>
  <c r="H441" i="7"/>
  <c r="I441" i="7"/>
  <c r="K441" i="7"/>
  <c r="L441" i="7" s="1"/>
  <c r="U441" i="7" s="1"/>
  <c r="P441" i="7"/>
  <c r="Q441" i="7" s="1"/>
  <c r="A440" i="7"/>
  <c r="B440" i="7"/>
  <c r="C440" i="7"/>
  <c r="D440" i="7"/>
  <c r="E440" i="7"/>
  <c r="G440" i="7"/>
  <c r="H440" i="7"/>
  <c r="I440" i="7"/>
  <c r="K440" i="7"/>
  <c r="L440" i="7" s="1"/>
  <c r="P440" i="7"/>
  <c r="Q440" i="7" s="1"/>
  <c r="N488" i="5"/>
  <c r="O488" i="5" s="1"/>
  <c r="R440" i="7" l="1"/>
  <c r="T440" i="7" s="1"/>
  <c r="W440" i="7" s="1"/>
  <c r="R441" i="7"/>
  <c r="T441" i="7" s="1"/>
  <c r="W441" i="7" s="1"/>
  <c r="S441" i="7"/>
  <c r="S440" i="7"/>
  <c r="U440" i="7"/>
  <c r="X446" i="7" s="1"/>
  <c r="U68" i="8"/>
  <c r="W68" i="8" s="1"/>
  <c r="F68" i="8"/>
  <c r="A439" i="7"/>
  <c r="B439" i="7"/>
  <c r="C439" i="7"/>
  <c r="D439" i="7"/>
  <c r="E439" i="7"/>
  <c r="G439" i="7"/>
  <c r="H439" i="7"/>
  <c r="I439" i="7"/>
  <c r="K439" i="7"/>
  <c r="L439" i="7" s="1"/>
  <c r="U439" i="7" s="1"/>
  <c r="P439" i="7"/>
  <c r="Q439" i="7" s="1"/>
  <c r="A438" i="7"/>
  <c r="B438" i="7"/>
  <c r="C438" i="7"/>
  <c r="D438" i="7"/>
  <c r="E438" i="7"/>
  <c r="G438" i="7"/>
  <c r="H438" i="7"/>
  <c r="I438" i="7"/>
  <c r="K438" i="7"/>
  <c r="L438" i="7" s="1"/>
  <c r="P438" i="7"/>
  <c r="Q438" i="7" s="1"/>
  <c r="A437" i="7"/>
  <c r="B437" i="7"/>
  <c r="C437" i="7"/>
  <c r="D437" i="7"/>
  <c r="E437" i="7"/>
  <c r="G437" i="7"/>
  <c r="H437" i="7"/>
  <c r="I437" i="7"/>
  <c r="K437" i="7"/>
  <c r="L437" i="7" s="1"/>
  <c r="U437" i="7" s="1"/>
  <c r="P437" i="7"/>
  <c r="Q437" i="7" s="1"/>
  <c r="N487" i="5"/>
  <c r="O487" i="5" s="1"/>
  <c r="P493" i="5" s="1"/>
  <c r="V440" i="7" l="1"/>
  <c r="AA446" i="7"/>
  <c r="Y446" i="7"/>
  <c r="V441" i="7"/>
  <c r="R437" i="7"/>
  <c r="T437" i="7" s="1"/>
  <c r="V437" i="7" s="1"/>
  <c r="R438" i="7"/>
  <c r="T438" i="7" s="1"/>
  <c r="W438" i="7" s="1"/>
  <c r="S439" i="7"/>
  <c r="X68" i="8"/>
  <c r="R439" i="7"/>
  <c r="T439" i="7" s="1"/>
  <c r="V439" i="7" s="1"/>
  <c r="S438" i="7"/>
  <c r="U438" i="7"/>
  <c r="S437" i="7"/>
  <c r="A436" i="7"/>
  <c r="B436" i="7"/>
  <c r="C436" i="7"/>
  <c r="D436" i="7"/>
  <c r="E436" i="7"/>
  <c r="G436" i="7"/>
  <c r="H436" i="7"/>
  <c r="I436" i="7"/>
  <c r="K436" i="7"/>
  <c r="L436" i="7" s="1"/>
  <c r="U436" i="7" s="1"/>
  <c r="P436" i="7"/>
  <c r="Q436" i="7" s="1"/>
  <c r="N483" i="5"/>
  <c r="O483" i="5" s="1"/>
  <c r="Z446" i="7" l="1"/>
  <c r="W437" i="7"/>
  <c r="V438" i="7"/>
  <c r="R436" i="7"/>
  <c r="T436" i="7" s="1"/>
  <c r="V436" i="7" s="1"/>
  <c r="W439" i="7"/>
  <c r="S436" i="7"/>
  <c r="A435" i="7"/>
  <c r="B435" i="7"/>
  <c r="C435" i="7"/>
  <c r="D435" i="7"/>
  <c r="E435" i="7"/>
  <c r="G435" i="7"/>
  <c r="H435" i="7"/>
  <c r="I435" i="7"/>
  <c r="K435" i="7"/>
  <c r="L435" i="7" s="1"/>
  <c r="U435" i="7" s="1"/>
  <c r="P435" i="7"/>
  <c r="Q435" i="7" s="1"/>
  <c r="N482" i="5"/>
  <c r="O482" i="5" s="1"/>
  <c r="W436" i="7" l="1"/>
  <c r="S435" i="7"/>
  <c r="R435" i="7"/>
  <c r="T435" i="7" s="1"/>
  <c r="V435" i="7" s="1"/>
  <c r="A434" i="7"/>
  <c r="B434" i="7"/>
  <c r="C434" i="7"/>
  <c r="D434" i="7"/>
  <c r="E434" i="7"/>
  <c r="G434" i="7"/>
  <c r="H434" i="7"/>
  <c r="I434" i="7"/>
  <c r="K434" i="7"/>
  <c r="L434" i="7" s="1"/>
  <c r="U434" i="7" s="1"/>
  <c r="P434" i="7"/>
  <c r="Q434" i="7" s="1"/>
  <c r="K481" i="5"/>
  <c r="L481" i="5"/>
  <c r="N481" i="5"/>
  <c r="O481" i="5" s="1"/>
  <c r="W435" i="7" l="1"/>
  <c r="S434" i="7"/>
  <c r="R434" i="7"/>
  <c r="T434" i="7" s="1"/>
  <c r="V434" i="7" s="1"/>
  <c r="K480" i="5"/>
  <c r="L480" i="5" s="1"/>
  <c r="A433" i="7"/>
  <c r="B433" i="7"/>
  <c r="C433" i="7"/>
  <c r="D433" i="7"/>
  <c r="E433" i="7"/>
  <c r="G433" i="7"/>
  <c r="H433" i="7"/>
  <c r="I433" i="7"/>
  <c r="K433" i="7"/>
  <c r="L433" i="7" s="1"/>
  <c r="P433" i="7"/>
  <c r="Q433" i="7" s="1"/>
  <c r="N480" i="5"/>
  <c r="O480" i="5" s="1"/>
  <c r="W434" i="7" l="1"/>
  <c r="R433" i="7"/>
  <c r="T433" i="7" s="1"/>
  <c r="S433" i="7"/>
  <c r="U433" i="7"/>
  <c r="A432" i="7"/>
  <c r="B432" i="7"/>
  <c r="C432" i="7"/>
  <c r="D432" i="7"/>
  <c r="E432" i="7"/>
  <c r="G432" i="7"/>
  <c r="H432" i="7"/>
  <c r="I432" i="7"/>
  <c r="K432" i="7"/>
  <c r="L432" i="7" s="1"/>
  <c r="P432" i="7"/>
  <c r="Q432" i="7" s="1"/>
  <c r="W433" i="7" l="1"/>
  <c r="V433" i="7"/>
  <c r="S432" i="7"/>
  <c r="U432" i="7"/>
  <c r="R432" i="7"/>
  <c r="T432" i="7" s="1"/>
  <c r="N479" i="5"/>
  <c r="O479" i="5"/>
  <c r="W432" i="7" l="1"/>
  <c r="V432" i="7"/>
  <c r="A431" i="7" l="1"/>
  <c r="B431" i="7"/>
  <c r="C431" i="7"/>
  <c r="D431" i="7"/>
  <c r="E431" i="7"/>
  <c r="G431" i="7"/>
  <c r="H431" i="7"/>
  <c r="I431" i="7"/>
  <c r="K431" i="7"/>
  <c r="L431" i="7" s="1"/>
  <c r="P431" i="7"/>
  <c r="Q431" i="7" s="1"/>
  <c r="N478" i="5"/>
  <c r="O478" i="5" s="1"/>
  <c r="R431" i="7" l="1"/>
  <c r="T431" i="7" s="1"/>
  <c r="S431" i="7"/>
  <c r="U431" i="7"/>
  <c r="V67" i="8"/>
  <c r="U67" i="8" s="1"/>
  <c r="F67" i="8"/>
  <c r="A426" i="7"/>
  <c r="B426" i="7"/>
  <c r="C426" i="7"/>
  <c r="D426" i="7"/>
  <c r="E426" i="7"/>
  <c r="G426" i="7"/>
  <c r="H426" i="7"/>
  <c r="I426" i="7"/>
  <c r="K426" i="7"/>
  <c r="L426" i="7" s="1"/>
  <c r="U426" i="7" s="1"/>
  <c r="P426" i="7"/>
  <c r="Q426" i="7" s="1"/>
  <c r="A427" i="7"/>
  <c r="B427" i="7"/>
  <c r="C427" i="7"/>
  <c r="D427" i="7"/>
  <c r="E427" i="7"/>
  <c r="G427" i="7"/>
  <c r="H427" i="7"/>
  <c r="I427" i="7"/>
  <c r="K427" i="7"/>
  <c r="L427" i="7" s="1"/>
  <c r="U427" i="7" s="1"/>
  <c r="P427" i="7"/>
  <c r="Q427" i="7" s="1"/>
  <c r="A428" i="7"/>
  <c r="B428" i="7"/>
  <c r="C428" i="7"/>
  <c r="D428" i="7"/>
  <c r="E428" i="7"/>
  <c r="G428" i="7"/>
  <c r="H428" i="7"/>
  <c r="I428" i="7"/>
  <c r="K428" i="7"/>
  <c r="L428" i="7" s="1"/>
  <c r="P428" i="7"/>
  <c r="Q428" i="7" s="1"/>
  <c r="A429" i="7"/>
  <c r="B429" i="7"/>
  <c r="C429" i="7"/>
  <c r="D429" i="7"/>
  <c r="E429" i="7"/>
  <c r="G429" i="7"/>
  <c r="H429" i="7"/>
  <c r="I429" i="7"/>
  <c r="K429" i="7"/>
  <c r="L429" i="7" s="1"/>
  <c r="P429" i="7"/>
  <c r="Q429" i="7" s="1"/>
  <c r="A430" i="7"/>
  <c r="B430" i="7"/>
  <c r="C430" i="7"/>
  <c r="D430" i="7"/>
  <c r="E430" i="7"/>
  <c r="G430" i="7"/>
  <c r="H430" i="7"/>
  <c r="I430" i="7"/>
  <c r="K430" i="7"/>
  <c r="L430" i="7" s="1"/>
  <c r="P430" i="7"/>
  <c r="Q430" i="7" s="1"/>
  <c r="A422" i="7"/>
  <c r="B422" i="7"/>
  <c r="C422" i="7"/>
  <c r="D422" i="7"/>
  <c r="E422" i="7"/>
  <c r="G422" i="7"/>
  <c r="H422" i="7"/>
  <c r="I422" i="7"/>
  <c r="P422" i="7"/>
  <c r="Q422" i="7" s="1"/>
  <c r="A423" i="7"/>
  <c r="B423" i="7"/>
  <c r="C423" i="7"/>
  <c r="D423" i="7"/>
  <c r="E423" i="7"/>
  <c r="G423" i="7"/>
  <c r="H423" i="7"/>
  <c r="I423" i="7"/>
  <c r="K423" i="7"/>
  <c r="L423" i="7" s="1"/>
  <c r="P423" i="7"/>
  <c r="Q423" i="7" s="1"/>
  <c r="A424" i="7"/>
  <c r="B424" i="7"/>
  <c r="C424" i="7"/>
  <c r="D424" i="7"/>
  <c r="E424" i="7"/>
  <c r="G424" i="7"/>
  <c r="H424" i="7"/>
  <c r="I424" i="7"/>
  <c r="K424" i="7"/>
  <c r="L424" i="7" s="1"/>
  <c r="U424" i="7" s="1"/>
  <c r="P424" i="7"/>
  <c r="Q424" i="7" s="1"/>
  <c r="A425" i="7"/>
  <c r="B425" i="7"/>
  <c r="C425" i="7"/>
  <c r="D425" i="7"/>
  <c r="E425" i="7"/>
  <c r="G425" i="7"/>
  <c r="H425" i="7"/>
  <c r="I425" i="7"/>
  <c r="K425" i="7"/>
  <c r="L425" i="7" s="1"/>
  <c r="U425" i="7" s="1"/>
  <c r="P425" i="7"/>
  <c r="Q425" i="7" s="1"/>
  <c r="R426" i="7" l="1"/>
  <c r="T426" i="7" s="1"/>
  <c r="V426" i="7" s="1"/>
  <c r="R427" i="7"/>
  <c r="T427" i="7" s="1"/>
  <c r="V427" i="7" s="1"/>
  <c r="W431" i="7"/>
  <c r="V431" i="7"/>
  <c r="S424" i="7"/>
  <c r="S427" i="7"/>
  <c r="S426" i="7"/>
  <c r="W67" i="8"/>
  <c r="X67" i="8"/>
  <c r="S430" i="7"/>
  <c r="R422" i="7"/>
  <c r="T422" i="7" s="1"/>
  <c r="V422" i="7" s="1"/>
  <c r="U423" i="7"/>
  <c r="S423" i="7"/>
  <c r="S425" i="7"/>
  <c r="R425" i="7"/>
  <c r="T425" i="7" s="1"/>
  <c r="V425" i="7" s="1"/>
  <c r="R424" i="7"/>
  <c r="T424" i="7" s="1"/>
  <c r="V424" i="7" s="1"/>
  <c r="R423" i="7"/>
  <c r="T423" i="7" s="1"/>
  <c r="W423" i="7" s="1"/>
  <c r="R430" i="7"/>
  <c r="T430" i="7" s="1"/>
  <c r="W430" i="7" s="1"/>
  <c r="S428" i="7"/>
  <c r="R428" i="7"/>
  <c r="T428" i="7" s="1"/>
  <c r="U428" i="7"/>
  <c r="U429" i="7"/>
  <c r="R429" i="7"/>
  <c r="T429" i="7" s="1"/>
  <c r="S429" i="7"/>
  <c r="U430" i="7"/>
  <c r="X439" i="7" s="1"/>
  <c r="W426" i="7" l="1"/>
  <c r="AA439" i="7"/>
  <c r="Y439" i="7"/>
  <c r="W422" i="7"/>
  <c r="W427" i="7"/>
  <c r="W425" i="7"/>
  <c r="W424" i="7"/>
  <c r="V423" i="7"/>
  <c r="V430" i="7"/>
  <c r="Z439" i="7" s="1"/>
  <c r="V428" i="7"/>
  <c r="W428" i="7"/>
  <c r="V429" i="7"/>
  <c r="W429" i="7"/>
  <c r="Z429" i="7" l="1"/>
  <c r="AA429" i="7"/>
  <c r="N477" i="5"/>
  <c r="O477" i="5" s="1"/>
  <c r="P485" i="5" s="1"/>
  <c r="N476" i="5" l="1"/>
  <c r="O476" i="5" s="1"/>
  <c r="N475" i="5" l="1"/>
  <c r="O475" i="5" s="1"/>
  <c r="N474" i="5" l="1"/>
  <c r="O474" i="5" s="1"/>
  <c r="N473" i="5" l="1"/>
  <c r="O473" i="5" s="1"/>
  <c r="P477" i="5" s="1"/>
  <c r="V66" i="8" l="1"/>
  <c r="U66" i="8" s="1"/>
  <c r="F66" i="8"/>
  <c r="A421" i="7"/>
  <c r="B421" i="7"/>
  <c r="C421" i="7"/>
  <c r="D421" i="7"/>
  <c r="E421" i="7"/>
  <c r="G421" i="7"/>
  <c r="H421" i="7"/>
  <c r="I421" i="7"/>
  <c r="K421" i="7"/>
  <c r="L421" i="7" s="1"/>
  <c r="P421" i="7"/>
  <c r="Q421" i="7" s="1"/>
  <c r="N467" i="5"/>
  <c r="O467" i="5" s="1"/>
  <c r="R421" i="7" l="1"/>
  <c r="T421" i="7" s="1"/>
  <c r="W421" i="7" s="1"/>
  <c r="U421" i="7"/>
  <c r="S421" i="7"/>
  <c r="X66" i="8"/>
  <c r="W66" i="8"/>
  <c r="A420" i="7"/>
  <c r="B420" i="7"/>
  <c r="C420" i="7"/>
  <c r="D420" i="7"/>
  <c r="E420" i="7"/>
  <c r="G420" i="7"/>
  <c r="H420" i="7"/>
  <c r="I420" i="7"/>
  <c r="K420" i="7"/>
  <c r="L420" i="7" s="1"/>
  <c r="U420" i="7" s="1"/>
  <c r="P420" i="7"/>
  <c r="Q420" i="7" s="1"/>
  <c r="N466" i="5"/>
  <c r="O466" i="5" s="1"/>
  <c r="V421" i="7" l="1"/>
  <c r="S420" i="7"/>
  <c r="R420" i="7"/>
  <c r="T420" i="7" s="1"/>
  <c r="W420" i="7" s="1"/>
  <c r="M468" i="5"/>
  <c r="K422" i="7" s="1"/>
  <c r="L422" i="7" s="1"/>
  <c r="A419" i="7"/>
  <c r="B419" i="7"/>
  <c r="C419" i="7"/>
  <c r="D419" i="7"/>
  <c r="E419" i="7"/>
  <c r="G419" i="7"/>
  <c r="H419" i="7"/>
  <c r="I419" i="7"/>
  <c r="K419" i="7"/>
  <c r="L419" i="7" s="1"/>
  <c r="U419" i="7" s="1"/>
  <c r="P419" i="7"/>
  <c r="Q419" i="7" s="1"/>
  <c r="N465" i="5"/>
  <c r="O465" i="5" s="1"/>
  <c r="V420" i="7" l="1"/>
  <c r="U422" i="7"/>
  <c r="X429" i="7" s="1"/>
  <c r="Y429" i="7" s="1"/>
  <c r="S422" i="7"/>
  <c r="S419" i="7"/>
  <c r="R419" i="7"/>
  <c r="T419" i="7" s="1"/>
  <c r="V419" i="7" s="1"/>
  <c r="L464" i="5"/>
  <c r="A418" i="7"/>
  <c r="B418" i="7"/>
  <c r="C418" i="7"/>
  <c r="D418" i="7"/>
  <c r="E418" i="7"/>
  <c r="G418" i="7"/>
  <c r="H418" i="7"/>
  <c r="I418" i="7"/>
  <c r="K418" i="7"/>
  <c r="L418" i="7" s="1"/>
  <c r="U418" i="7" s="1"/>
  <c r="P418" i="7"/>
  <c r="Q418" i="7" s="1"/>
  <c r="N464" i="5"/>
  <c r="O464" i="5" s="1"/>
  <c r="W419" i="7" l="1"/>
  <c r="R418" i="7"/>
  <c r="T418" i="7" s="1"/>
  <c r="W418" i="7" s="1"/>
  <c r="S418" i="7"/>
  <c r="A417" i="7"/>
  <c r="B417" i="7"/>
  <c r="C417" i="7"/>
  <c r="D417" i="7"/>
  <c r="E417" i="7"/>
  <c r="G417" i="7"/>
  <c r="H417" i="7"/>
  <c r="I417" i="7"/>
  <c r="K417" i="7"/>
  <c r="L417" i="7" s="1"/>
  <c r="U417" i="7" s="1"/>
  <c r="P417" i="7"/>
  <c r="Q417" i="7" s="1"/>
  <c r="V418" i="7" l="1"/>
  <c r="R417" i="7"/>
  <c r="T417" i="7" s="1"/>
  <c r="W417" i="7" s="1"/>
  <c r="S417" i="7"/>
  <c r="A416" i="7"/>
  <c r="B416" i="7"/>
  <c r="C416" i="7"/>
  <c r="D416" i="7"/>
  <c r="E416" i="7"/>
  <c r="G416" i="7"/>
  <c r="H416" i="7"/>
  <c r="I416" i="7"/>
  <c r="K416" i="7"/>
  <c r="L416" i="7" s="1"/>
  <c r="U416" i="7" s="1"/>
  <c r="P416" i="7"/>
  <c r="Q416" i="7" s="1"/>
  <c r="N462" i="5"/>
  <c r="O462" i="5" s="1"/>
  <c r="V417" i="7" l="1"/>
  <c r="S416" i="7"/>
  <c r="R416" i="7"/>
  <c r="T416" i="7" s="1"/>
  <c r="V416" i="7" s="1"/>
  <c r="A415" i="7"/>
  <c r="B415" i="7"/>
  <c r="C415" i="7"/>
  <c r="D415" i="7"/>
  <c r="E415" i="7"/>
  <c r="G415" i="7"/>
  <c r="H415" i="7"/>
  <c r="I415" i="7"/>
  <c r="K415" i="7"/>
  <c r="L415" i="7" s="1"/>
  <c r="P415" i="7"/>
  <c r="Q415" i="7" s="1"/>
  <c r="N461" i="5"/>
  <c r="O461" i="5" s="1"/>
  <c r="R415" i="7" l="1"/>
  <c r="T415" i="7" s="1"/>
  <c r="W415" i="7" s="1"/>
  <c r="W416" i="7"/>
  <c r="S415" i="7"/>
  <c r="U415" i="7"/>
  <c r="A414" i="7"/>
  <c r="B414" i="7"/>
  <c r="C414" i="7"/>
  <c r="D414" i="7"/>
  <c r="E414" i="7"/>
  <c r="G414" i="7"/>
  <c r="H414" i="7"/>
  <c r="I414" i="7"/>
  <c r="K414" i="7"/>
  <c r="L414" i="7" s="1"/>
  <c r="P414" i="7"/>
  <c r="Q414" i="7" s="1"/>
  <c r="N460" i="5"/>
  <c r="O460" i="5" s="1"/>
  <c r="V415" i="7" l="1"/>
  <c r="S414" i="7"/>
  <c r="U414" i="7"/>
  <c r="R414" i="7"/>
  <c r="T414" i="7" s="1"/>
  <c r="A413" i="7"/>
  <c r="B413" i="7"/>
  <c r="C413" i="7"/>
  <c r="D413" i="7"/>
  <c r="E413" i="7"/>
  <c r="G413" i="7"/>
  <c r="H413" i="7"/>
  <c r="I413" i="7"/>
  <c r="K413" i="7"/>
  <c r="L413" i="7" s="1"/>
  <c r="U413" i="7" s="1"/>
  <c r="P413" i="7"/>
  <c r="Q413" i="7" s="1"/>
  <c r="N459" i="5"/>
  <c r="O459" i="5" s="1"/>
  <c r="X421" i="7" l="1"/>
  <c r="S413" i="7"/>
  <c r="W414" i="7"/>
  <c r="V414" i="7"/>
  <c r="R413" i="7"/>
  <c r="T413" i="7" s="1"/>
  <c r="W413" i="7" s="1"/>
  <c r="V65" i="8"/>
  <c r="U65" i="8" s="1"/>
  <c r="F65" i="8"/>
  <c r="A412" i="7"/>
  <c r="B412" i="7"/>
  <c r="C412" i="7"/>
  <c r="D412" i="7"/>
  <c r="E412" i="7"/>
  <c r="G412" i="7"/>
  <c r="H412" i="7"/>
  <c r="I412" i="7"/>
  <c r="K412" i="7"/>
  <c r="L412" i="7" s="1"/>
  <c r="P412" i="7"/>
  <c r="Q412" i="7" s="1"/>
  <c r="A409" i="7"/>
  <c r="B409" i="7"/>
  <c r="C409" i="7"/>
  <c r="D409" i="7"/>
  <c r="E409" i="7"/>
  <c r="G409" i="7"/>
  <c r="H409" i="7"/>
  <c r="I409" i="7"/>
  <c r="K409" i="7"/>
  <c r="L409" i="7" s="1"/>
  <c r="P409" i="7"/>
  <c r="Q409" i="7" s="1"/>
  <c r="A410" i="7"/>
  <c r="B410" i="7"/>
  <c r="C410" i="7"/>
  <c r="D410" i="7"/>
  <c r="E410" i="7"/>
  <c r="G410" i="7"/>
  <c r="H410" i="7"/>
  <c r="I410" i="7"/>
  <c r="K410" i="7"/>
  <c r="L410" i="7" s="1"/>
  <c r="U410" i="7" s="1"/>
  <c r="P410" i="7"/>
  <c r="Q410" i="7" s="1"/>
  <c r="A411" i="7"/>
  <c r="B411" i="7"/>
  <c r="C411" i="7"/>
  <c r="D411" i="7"/>
  <c r="E411" i="7"/>
  <c r="G411" i="7"/>
  <c r="H411" i="7"/>
  <c r="I411" i="7"/>
  <c r="K411" i="7"/>
  <c r="L411" i="7" s="1"/>
  <c r="P411" i="7"/>
  <c r="Q411" i="7" s="1"/>
  <c r="N458" i="5"/>
  <c r="O458" i="5" s="1"/>
  <c r="R409" i="7" l="1"/>
  <c r="T409" i="7" s="1"/>
  <c r="W409" i="7" s="1"/>
  <c r="AA421" i="7"/>
  <c r="Y421" i="7"/>
  <c r="V413" i="7"/>
  <c r="Z421" i="7" s="1"/>
  <c r="W65" i="8"/>
  <c r="X65" i="8"/>
  <c r="R412" i="7"/>
  <c r="T412" i="7" s="1"/>
  <c r="S412" i="7"/>
  <c r="U412" i="7"/>
  <c r="S411" i="7"/>
  <c r="U411" i="7"/>
  <c r="R411" i="7"/>
  <c r="T411" i="7" s="1"/>
  <c r="R410" i="7"/>
  <c r="T410" i="7" s="1"/>
  <c r="S410" i="7"/>
  <c r="S409" i="7"/>
  <c r="U409" i="7"/>
  <c r="N457" i="5"/>
  <c r="O457" i="5" s="1"/>
  <c r="V409" i="7" l="1"/>
  <c r="V412" i="7"/>
  <c r="W412" i="7"/>
  <c r="W411" i="7"/>
  <c r="V411" i="7"/>
  <c r="V410" i="7"/>
  <c r="W410" i="7"/>
  <c r="N456" i="5"/>
  <c r="O456" i="5" s="1"/>
  <c r="A408" i="7" l="1"/>
  <c r="B408" i="7"/>
  <c r="C408" i="7"/>
  <c r="D408" i="7"/>
  <c r="E408" i="7"/>
  <c r="G408" i="7"/>
  <c r="H408" i="7"/>
  <c r="I408" i="7"/>
  <c r="K408" i="7"/>
  <c r="L408" i="7" s="1"/>
  <c r="U408" i="7" s="1"/>
  <c r="P408" i="7"/>
  <c r="Q408" i="7" s="1"/>
  <c r="P407" i="7"/>
  <c r="Q407" i="7" s="1"/>
  <c r="K407" i="7"/>
  <c r="L407" i="7" s="1"/>
  <c r="U407" i="7" s="1"/>
  <c r="I407" i="7"/>
  <c r="H407" i="7"/>
  <c r="G407" i="7"/>
  <c r="E407" i="7"/>
  <c r="D407" i="7"/>
  <c r="C407" i="7"/>
  <c r="B407" i="7"/>
  <c r="A407" i="7"/>
  <c r="N454" i="5"/>
  <c r="O454" i="5" s="1"/>
  <c r="S408" i="7" l="1"/>
  <c r="X412" i="7"/>
  <c r="R408" i="7"/>
  <c r="T408" i="7" s="1"/>
  <c r="V408" i="7" s="1"/>
  <c r="R407" i="7"/>
  <c r="T407" i="7" s="1"/>
  <c r="V407" i="7" s="1"/>
  <c r="S407" i="7"/>
  <c r="V64" i="8"/>
  <c r="U64" i="8" s="1"/>
  <c r="V63" i="8"/>
  <c r="U63" i="8" s="1"/>
  <c r="F63" i="8"/>
  <c r="F64" i="8"/>
  <c r="A406" i="7"/>
  <c r="B406" i="7"/>
  <c r="C406" i="7"/>
  <c r="D406" i="7"/>
  <c r="E406" i="7"/>
  <c r="G406" i="7"/>
  <c r="H406" i="7"/>
  <c r="I406" i="7"/>
  <c r="K406" i="7"/>
  <c r="L406" i="7" s="1"/>
  <c r="U406" i="7" s="1"/>
  <c r="P406" i="7"/>
  <c r="Q406" i="7" s="1"/>
  <c r="N449" i="5"/>
  <c r="O449" i="5" s="1"/>
  <c r="Z412" i="7" l="1"/>
  <c r="W407" i="7"/>
  <c r="Y412" i="7"/>
  <c r="W408" i="7"/>
  <c r="R406" i="7"/>
  <c r="T406" i="7" s="1"/>
  <c r="W406" i="7" s="1"/>
  <c r="W64" i="8"/>
  <c r="X64" i="8"/>
  <c r="W63" i="8"/>
  <c r="X63" i="8"/>
  <c r="S406" i="7"/>
  <c r="A405" i="7"/>
  <c r="B405" i="7"/>
  <c r="C405" i="7"/>
  <c r="D405" i="7"/>
  <c r="E405" i="7"/>
  <c r="G405" i="7"/>
  <c r="H405" i="7"/>
  <c r="I405" i="7"/>
  <c r="K405" i="7"/>
  <c r="L405" i="7" s="1"/>
  <c r="U405" i="7" s="1"/>
  <c r="P405" i="7"/>
  <c r="Q405" i="7" s="1"/>
  <c r="A403" i="7"/>
  <c r="B403" i="7"/>
  <c r="C403" i="7"/>
  <c r="D403" i="7"/>
  <c r="E403" i="7"/>
  <c r="G403" i="7"/>
  <c r="H403" i="7"/>
  <c r="I403" i="7"/>
  <c r="K403" i="7"/>
  <c r="L403" i="7" s="1"/>
  <c r="P403" i="7"/>
  <c r="Q403" i="7" s="1"/>
  <c r="A404" i="7"/>
  <c r="B404" i="7"/>
  <c r="C404" i="7"/>
  <c r="D404" i="7"/>
  <c r="E404" i="7"/>
  <c r="G404" i="7"/>
  <c r="H404" i="7"/>
  <c r="I404" i="7"/>
  <c r="K404" i="7"/>
  <c r="L404" i="7" s="1"/>
  <c r="U404" i="7" s="1"/>
  <c r="P404" i="7"/>
  <c r="Q404" i="7" s="1"/>
  <c r="N448" i="5"/>
  <c r="O448" i="5" s="1"/>
  <c r="AA412" i="7" l="1"/>
  <c r="R405" i="7"/>
  <c r="T405" i="7" s="1"/>
  <c r="W405" i="7" s="1"/>
  <c r="V406" i="7"/>
  <c r="R403" i="7"/>
  <c r="T403" i="7" s="1"/>
  <c r="W403" i="7" s="1"/>
  <c r="S404" i="7"/>
  <c r="S405" i="7"/>
  <c r="R404" i="7"/>
  <c r="T404" i="7" s="1"/>
  <c r="U403" i="7"/>
  <c r="X406" i="7" s="1"/>
  <c r="S403" i="7"/>
  <c r="N447" i="5"/>
  <c r="O447" i="5" s="1"/>
  <c r="V405" i="7" l="1"/>
  <c r="V403" i="7"/>
  <c r="Y406" i="7"/>
  <c r="V404" i="7"/>
  <c r="W404" i="7"/>
  <c r="AA406" i="7" s="1"/>
  <c r="A402" i="7"/>
  <c r="B402" i="7"/>
  <c r="C402" i="7"/>
  <c r="D402" i="7"/>
  <c r="E402" i="7"/>
  <c r="G402" i="7"/>
  <c r="H402" i="7"/>
  <c r="I402" i="7"/>
  <c r="K402" i="7"/>
  <c r="L402" i="7" s="1"/>
  <c r="U402" i="7" s="1"/>
  <c r="P402" i="7"/>
  <c r="Q402" i="7" s="1"/>
  <c r="N445" i="5"/>
  <c r="O445" i="5" s="1"/>
  <c r="Z406" i="7" l="1"/>
  <c r="S402" i="7"/>
  <c r="R402" i="7"/>
  <c r="T402" i="7" s="1"/>
  <c r="V402" i="7" s="1"/>
  <c r="V62" i="8"/>
  <c r="U62" i="8" s="1"/>
  <c r="D62" i="8"/>
  <c r="F62" i="8" s="1"/>
  <c r="A401" i="7"/>
  <c r="B401" i="7"/>
  <c r="C401" i="7"/>
  <c r="D401" i="7"/>
  <c r="E401" i="7"/>
  <c r="G401" i="7"/>
  <c r="H401" i="7"/>
  <c r="I401" i="7"/>
  <c r="K401" i="7"/>
  <c r="L401" i="7" s="1"/>
  <c r="U401" i="7" s="1"/>
  <c r="P401" i="7"/>
  <c r="Q401" i="7" s="1"/>
  <c r="A397" i="7"/>
  <c r="B397" i="7"/>
  <c r="C397" i="7"/>
  <c r="D397" i="7"/>
  <c r="E397" i="7"/>
  <c r="G397" i="7"/>
  <c r="H397" i="7"/>
  <c r="I397" i="7"/>
  <c r="K397" i="7"/>
  <c r="L397" i="7" s="1"/>
  <c r="U397" i="7" s="1"/>
  <c r="P397" i="7"/>
  <c r="Q397" i="7" s="1"/>
  <c r="A398" i="7"/>
  <c r="B398" i="7"/>
  <c r="C398" i="7"/>
  <c r="D398" i="7"/>
  <c r="E398" i="7"/>
  <c r="G398" i="7"/>
  <c r="H398" i="7"/>
  <c r="I398" i="7"/>
  <c r="K398" i="7"/>
  <c r="L398" i="7" s="1"/>
  <c r="U398" i="7" s="1"/>
  <c r="P398" i="7"/>
  <c r="Q398" i="7" s="1"/>
  <c r="A399" i="7"/>
  <c r="B399" i="7"/>
  <c r="C399" i="7"/>
  <c r="D399" i="7"/>
  <c r="E399" i="7"/>
  <c r="G399" i="7"/>
  <c r="H399" i="7"/>
  <c r="I399" i="7"/>
  <c r="K399" i="7"/>
  <c r="L399" i="7" s="1"/>
  <c r="P399" i="7"/>
  <c r="Q399" i="7" s="1"/>
  <c r="A400" i="7"/>
  <c r="B400" i="7"/>
  <c r="C400" i="7"/>
  <c r="D400" i="7"/>
  <c r="E400" i="7"/>
  <c r="G400" i="7"/>
  <c r="H400" i="7"/>
  <c r="I400" i="7"/>
  <c r="K400" i="7"/>
  <c r="L400" i="7" s="1"/>
  <c r="U400" i="7" s="1"/>
  <c r="P400" i="7"/>
  <c r="Q400" i="7" s="1"/>
  <c r="N442" i="5"/>
  <c r="O442" i="5" s="1"/>
  <c r="R399" i="7" l="1"/>
  <c r="T399" i="7" s="1"/>
  <c r="V399" i="7" s="1"/>
  <c r="W402" i="7"/>
  <c r="S398" i="7"/>
  <c r="R397" i="7"/>
  <c r="T397" i="7" s="1"/>
  <c r="W397" i="7" s="1"/>
  <c r="S401" i="7"/>
  <c r="W62" i="8"/>
  <c r="X62" i="8"/>
  <c r="R401" i="7"/>
  <c r="T401" i="7" s="1"/>
  <c r="V401" i="7" s="1"/>
  <c r="R398" i="7"/>
  <c r="T398" i="7" s="1"/>
  <c r="R400" i="7"/>
  <c r="T400" i="7" s="1"/>
  <c r="S399" i="7"/>
  <c r="U399" i="7"/>
  <c r="X402" i="7" s="1"/>
  <c r="S400" i="7"/>
  <c r="S397" i="7"/>
  <c r="B396" i="7"/>
  <c r="C396" i="7"/>
  <c r="D396" i="7"/>
  <c r="E396" i="7"/>
  <c r="G396" i="7"/>
  <c r="H396" i="7"/>
  <c r="I396" i="7"/>
  <c r="K396" i="7"/>
  <c r="L396" i="7" s="1"/>
  <c r="P396" i="7"/>
  <c r="Q396" i="7" s="1"/>
  <c r="N439" i="5"/>
  <c r="O439" i="5" s="1"/>
  <c r="W399" i="7" l="1"/>
  <c r="V397" i="7"/>
  <c r="Y402" i="7"/>
  <c r="W401" i="7"/>
  <c r="V400" i="7"/>
  <c r="W400" i="7"/>
  <c r="W398" i="7"/>
  <c r="V398" i="7"/>
  <c r="S396" i="7"/>
  <c r="U396" i="7"/>
  <c r="R396" i="7"/>
  <c r="T396" i="7" s="1"/>
  <c r="N136" i="5"/>
  <c r="O136" i="5" s="1"/>
  <c r="N129" i="5"/>
  <c r="O129" i="5" s="1"/>
  <c r="N130" i="5"/>
  <c r="O130" i="5" s="1"/>
  <c r="N131" i="5"/>
  <c r="O131" i="5" s="1"/>
  <c r="N134" i="5"/>
  <c r="O134" i="5" s="1"/>
  <c r="N128" i="5"/>
  <c r="O128" i="5" s="1"/>
  <c r="N119" i="5"/>
  <c r="O119" i="5" s="1"/>
  <c r="N115" i="5"/>
  <c r="O115" i="5" s="1"/>
  <c r="N89" i="5"/>
  <c r="O89" i="5" s="1"/>
  <c r="N90" i="5"/>
  <c r="O90" i="5" s="1"/>
  <c r="N91" i="5"/>
  <c r="O91" i="5" s="1"/>
  <c r="N92" i="5"/>
  <c r="O92" i="5" s="1"/>
  <c r="N93" i="5"/>
  <c r="O93" i="5" s="1"/>
  <c r="N95" i="5"/>
  <c r="O95" i="5" s="1"/>
  <c r="N98" i="5"/>
  <c r="O98" i="5" s="1"/>
  <c r="N100" i="5"/>
  <c r="O100" i="5" s="1"/>
  <c r="N101" i="5"/>
  <c r="O101" i="5" s="1"/>
  <c r="N103" i="5"/>
  <c r="O103" i="5" s="1"/>
  <c r="N104" i="5"/>
  <c r="O104" i="5" s="1"/>
  <c r="N105" i="5"/>
  <c r="O105" i="5" s="1"/>
  <c r="N106" i="5"/>
  <c r="O106" i="5" s="1"/>
  <c r="N107" i="5"/>
  <c r="O107" i="5" s="1"/>
  <c r="N67" i="5"/>
  <c r="O67" i="5" s="1"/>
  <c r="N68" i="5"/>
  <c r="O68" i="5" s="1"/>
  <c r="N69" i="5"/>
  <c r="O69" i="5" s="1"/>
  <c r="N70" i="5"/>
  <c r="O70" i="5" s="1"/>
  <c r="N71" i="5"/>
  <c r="O71" i="5" s="1"/>
  <c r="N73" i="5"/>
  <c r="O73" i="5" s="1"/>
  <c r="N74" i="5"/>
  <c r="O74" i="5" s="1"/>
  <c r="N75" i="5"/>
  <c r="O75" i="5" s="1"/>
  <c r="N76" i="5"/>
  <c r="O76" i="5" s="1"/>
  <c r="N77" i="5"/>
  <c r="O77" i="5" s="1"/>
  <c r="N78" i="5"/>
  <c r="O78" i="5" s="1"/>
  <c r="N79" i="5"/>
  <c r="O79" i="5" s="1"/>
  <c r="N80" i="5"/>
  <c r="O80" i="5" s="1"/>
  <c r="N81" i="5"/>
  <c r="O81" i="5" s="1"/>
  <c r="N82" i="5"/>
  <c r="O82" i="5" s="1"/>
  <c r="N83" i="5"/>
  <c r="O83" i="5" s="1"/>
  <c r="N84" i="5"/>
  <c r="O84" i="5" s="1"/>
  <c r="N85" i="5"/>
  <c r="O85" i="5" s="1"/>
  <c r="N86" i="5"/>
  <c r="O86" i="5" s="1"/>
  <c r="N40" i="5"/>
  <c r="O40" i="5" s="1"/>
  <c r="N41" i="5"/>
  <c r="O41" i="5" s="1"/>
  <c r="N42" i="5"/>
  <c r="O42" i="5" s="1"/>
  <c r="N43" i="5"/>
  <c r="O43" i="5" s="1"/>
  <c r="N44" i="5"/>
  <c r="O44" i="5" s="1"/>
  <c r="N45" i="5"/>
  <c r="O45" i="5" s="1"/>
  <c r="N46" i="5"/>
  <c r="O46" i="5" s="1"/>
  <c r="N50" i="5"/>
  <c r="O50" i="5" s="1"/>
  <c r="N51" i="5"/>
  <c r="O51" i="5" s="1"/>
  <c r="N52" i="5"/>
  <c r="O52" i="5" s="1"/>
  <c r="N57" i="5"/>
  <c r="O57" i="5" s="1"/>
  <c r="N58" i="5"/>
  <c r="O58" i="5" s="1"/>
  <c r="N59" i="5"/>
  <c r="O59" i="5" s="1"/>
  <c r="N60" i="5"/>
  <c r="O60" i="5" s="1"/>
  <c r="N63" i="5"/>
  <c r="O63" i="5" s="1"/>
  <c r="N64" i="5"/>
  <c r="O64" i="5" s="1"/>
  <c r="N65" i="5"/>
  <c r="O65" i="5" s="1"/>
  <c r="N35" i="5"/>
  <c r="O35" i="5" s="1"/>
  <c r="Z402" i="7" l="1"/>
  <c r="AA402" i="7"/>
  <c r="W396" i="7"/>
  <c r="V396" i="7"/>
  <c r="B395" i="7"/>
  <c r="C395" i="7"/>
  <c r="D395" i="7"/>
  <c r="E395" i="7"/>
  <c r="G395" i="7"/>
  <c r="H395" i="7"/>
  <c r="I395" i="7"/>
  <c r="K395" i="7"/>
  <c r="L395" i="7" s="1"/>
  <c r="U395" i="7" s="1"/>
  <c r="P395" i="7"/>
  <c r="Q395" i="7" s="1"/>
  <c r="N438" i="5"/>
  <c r="O438" i="5" s="1"/>
  <c r="S395" i="7" l="1"/>
  <c r="R395" i="7"/>
  <c r="T395" i="7" s="1"/>
  <c r="A395" i="7"/>
  <c r="A396" i="7"/>
  <c r="V395" i="7" l="1"/>
  <c r="W395" i="7"/>
  <c r="A394" i="7"/>
  <c r="B394" i="7"/>
  <c r="C394" i="7"/>
  <c r="D394" i="7"/>
  <c r="E394" i="7"/>
  <c r="G394" i="7"/>
  <c r="H394" i="7"/>
  <c r="I394" i="7"/>
  <c r="K394" i="7"/>
  <c r="L394" i="7" s="1"/>
  <c r="P394" i="7"/>
  <c r="Q394" i="7" s="1"/>
  <c r="R394" i="7" s="1"/>
  <c r="T394" i="7" s="1"/>
  <c r="A393" i="7"/>
  <c r="B393" i="7"/>
  <c r="C393" i="7"/>
  <c r="D393" i="7"/>
  <c r="E393" i="7"/>
  <c r="G393" i="7"/>
  <c r="I393" i="7"/>
  <c r="K393" i="7"/>
  <c r="L393" i="7" s="1"/>
  <c r="U393" i="7" s="1"/>
  <c r="P393" i="7"/>
  <c r="Q393" i="7" s="1"/>
  <c r="A392" i="7"/>
  <c r="B392" i="7"/>
  <c r="C392" i="7"/>
  <c r="D392" i="7"/>
  <c r="E392" i="7"/>
  <c r="G392" i="7"/>
  <c r="H392" i="7"/>
  <c r="I392" i="7"/>
  <c r="K392" i="7"/>
  <c r="L392" i="7" s="1"/>
  <c r="P392" i="7"/>
  <c r="Q392" i="7" s="1"/>
  <c r="N436" i="5"/>
  <c r="O436" i="5" s="1"/>
  <c r="S393" i="7" l="1"/>
  <c r="V394" i="7"/>
  <c r="W394" i="7"/>
  <c r="S394" i="7"/>
  <c r="U394" i="7"/>
  <c r="R393" i="7"/>
  <c r="T393" i="7" s="1"/>
  <c r="V393" i="7" s="1"/>
  <c r="R392" i="7"/>
  <c r="T392" i="7" s="1"/>
  <c r="S392" i="7"/>
  <c r="U392" i="7"/>
  <c r="X396" i="7" s="1"/>
  <c r="Y396" i="7" l="1"/>
  <c r="W393" i="7"/>
  <c r="W392" i="7"/>
  <c r="V392" i="7"/>
  <c r="Z396" i="7" s="1"/>
  <c r="AA396" i="7" l="1"/>
  <c r="N435" i="5"/>
  <c r="O435" i="5" s="1"/>
  <c r="V61" i="8" l="1"/>
  <c r="U61" i="8" s="1"/>
  <c r="F61" i="8"/>
  <c r="A386" i="7"/>
  <c r="B386" i="7"/>
  <c r="C386" i="7"/>
  <c r="D386" i="7"/>
  <c r="E386" i="7"/>
  <c r="G386" i="7"/>
  <c r="H386" i="7"/>
  <c r="I386" i="7"/>
  <c r="K386" i="7"/>
  <c r="L386" i="7" s="1"/>
  <c r="U386" i="7" s="1"/>
  <c r="P386" i="7"/>
  <c r="Q386" i="7" s="1"/>
  <c r="A387" i="7"/>
  <c r="B387" i="7"/>
  <c r="C387" i="7"/>
  <c r="D387" i="7"/>
  <c r="E387" i="7"/>
  <c r="G387" i="7"/>
  <c r="H387" i="7"/>
  <c r="I387" i="7"/>
  <c r="K387" i="7"/>
  <c r="L387" i="7" s="1"/>
  <c r="U387" i="7" s="1"/>
  <c r="P387" i="7"/>
  <c r="Q387" i="7" s="1"/>
  <c r="A388" i="7"/>
  <c r="B388" i="7"/>
  <c r="C388" i="7"/>
  <c r="D388" i="7"/>
  <c r="E388" i="7"/>
  <c r="G388" i="7"/>
  <c r="H388" i="7"/>
  <c r="I388" i="7"/>
  <c r="K388" i="7"/>
  <c r="L388" i="7" s="1"/>
  <c r="U388" i="7" s="1"/>
  <c r="P388" i="7"/>
  <c r="Q388" i="7" s="1"/>
  <c r="A389" i="7"/>
  <c r="B389" i="7"/>
  <c r="C389" i="7"/>
  <c r="D389" i="7"/>
  <c r="E389" i="7"/>
  <c r="G389" i="7"/>
  <c r="H389" i="7"/>
  <c r="I389" i="7"/>
  <c r="K389" i="7"/>
  <c r="L389" i="7" s="1"/>
  <c r="U389" i="7" s="1"/>
  <c r="P389" i="7"/>
  <c r="Q389" i="7" s="1"/>
  <c r="A390" i="7"/>
  <c r="B390" i="7"/>
  <c r="C390" i="7"/>
  <c r="D390" i="7"/>
  <c r="E390" i="7"/>
  <c r="G390" i="7"/>
  <c r="H390" i="7"/>
  <c r="I390" i="7"/>
  <c r="K390" i="7"/>
  <c r="L390" i="7" s="1"/>
  <c r="U390" i="7" s="1"/>
  <c r="P390" i="7"/>
  <c r="Q390" i="7" s="1"/>
  <c r="A391" i="7"/>
  <c r="B391" i="7"/>
  <c r="C391" i="7"/>
  <c r="D391" i="7"/>
  <c r="E391" i="7"/>
  <c r="G391" i="7"/>
  <c r="H391" i="7"/>
  <c r="I391" i="7"/>
  <c r="K391" i="7"/>
  <c r="L391" i="7" s="1"/>
  <c r="U391" i="7" s="1"/>
  <c r="P391" i="7"/>
  <c r="Q391" i="7" s="1"/>
  <c r="P385" i="7"/>
  <c r="Q385" i="7" s="1"/>
  <c r="E385" i="7"/>
  <c r="K385" i="7"/>
  <c r="L385" i="7" s="1"/>
  <c r="U385" i="7" s="1"/>
  <c r="H385" i="7"/>
  <c r="I385" i="7"/>
  <c r="G385" i="7"/>
  <c r="C385" i="7"/>
  <c r="B385" i="7"/>
  <c r="D385" i="7"/>
  <c r="A385" i="7"/>
  <c r="R391" i="7" l="1"/>
  <c r="T391" i="7" s="1"/>
  <c r="V391" i="7" s="1"/>
  <c r="R385" i="7"/>
  <c r="T385" i="7" s="1"/>
  <c r="V385" i="7" s="1"/>
  <c r="X391" i="7"/>
  <c r="S388" i="7"/>
  <c r="S391" i="7"/>
  <c r="S389" i="7"/>
  <c r="S385" i="7"/>
  <c r="S387" i="7"/>
  <c r="S386" i="7"/>
  <c r="W61" i="8"/>
  <c r="X61" i="8"/>
  <c r="R390" i="7"/>
  <c r="T390" i="7" s="1"/>
  <c r="V390" i="7" s="1"/>
  <c r="R389" i="7"/>
  <c r="T389" i="7" s="1"/>
  <c r="V389" i="7" s="1"/>
  <c r="R388" i="7"/>
  <c r="T388" i="7" s="1"/>
  <c r="W388" i="7" s="1"/>
  <c r="R387" i="7"/>
  <c r="T387" i="7" s="1"/>
  <c r="W387" i="7" s="1"/>
  <c r="R386" i="7"/>
  <c r="T386" i="7" s="1"/>
  <c r="W386" i="7" s="1"/>
  <c r="W391" i="7"/>
  <c r="S390" i="7"/>
  <c r="N428" i="5"/>
  <c r="O428" i="5" s="1"/>
  <c r="W385" i="7" l="1"/>
  <c r="V387" i="7"/>
  <c r="V386" i="7"/>
  <c r="W390" i="7"/>
  <c r="V388" i="7"/>
  <c r="Y391" i="7"/>
  <c r="W389" i="7"/>
  <c r="A382" i="7"/>
  <c r="B382" i="7"/>
  <c r="C382" i="7"/>
  <c r="D382" i="7"/>
  <c r="E382" i="7"/>
  <c r="G382" i="7"/>
  <c r="H382" i="7"/>
  <c r="I382" i="7"/>
  <c r="K382" i="7"/>
  <c r="L382" i="7" s="1"/>
  <c r="P382" i="7"/>
  <c r="Q382" i="7" s="1"/>
  <c r="A383" i="7"/>
  <c r="B383" i="7"/>
  <c r="C383" i="7"/>
  <c r="D383" i="7"/>
  <c r="E383" i="7"/>
  <c r="G383" i="7"/>
  <c r="H383" i="7"/>
  <c r="I383" i="7"/>
  <c r="K383" i="7"/>
  <c r="L383" i="7" s="1"/>
  <c r="U383" i="7" s="1"/>
  <c r="P383" i="7"/>
  <c r="Q383" i="7" s="1"/>
  <c r="A384" i="7"/>
  <c r="B384" i="7"/>
  <c r="C384" i="7"/>
  <c r="D384" i="7"/>
  <c r="E384" i="7"/>
  <c r="G384" i="7"/>
  <c r="H384" i="7"/>
  <c r="I384" i="7"/>
  <c r="K384" i="7"/>
  <c r="L384" i="7" s="1"/>
  <c r="P384" i="7"/>
  <c r="Q384" i="7" s="1"/>
  <c r="R382" i="7" l="1"/>
  <c r="T382" i="7" s="1"/>
  <c r="V382" i="7" s="1"/>
  <c r="Z391" i="7"/>
  <c r="AA391" i="7"/>
  <c r="R384" i="7"/>
  <c r="T384" i="7" s="1"/>
  <c r="W384" i="7" s="1"/>
  <c r="S384" i="7"/>
  <c r="U384" i="7"/>
  <c r="S382" i="7"/>
  <c r="U382" i="7"/>
  <c r="R383" i="7"/>
  <c r="T383" i="7" s="1"/>
  <c r="S383" i="7"/>
  <c r="V60" i="8"/>
  <c r="U60" i="8" s="1"/>
  <c r="F60" i="8"/>
  <c r="N423" i="5"/>
  <c r="O423" i="5" s="1"/>
  <c r="W382" i="7" l="1"/>
  <c r="V384" i="7"/>
  <c r="V383" i="7"/>
  <c r="W383" i="7"/>
  <c r="W60" i="8"/>
  <c r="X60" i="8"/>
  <c r="P379" i="7"/>
  <c r="Q379" i="7" s="1"/>
  <c r="P380" i="7"/>
  <c r="Q380" i="7" s="1"/>
  <c r="P381" i="7"/>
  <c r="Q381" i="7" s="1"/>
  <c r="A379" i="7"/>
  <c r="B379" i="7"/>
  <c r="C379" i="7"/>
  <c r="D379" i="7"/>
  <c r="E379" i="7"/>
  <c r="G379" i="7"/>
  <c r="H379" i="7"/>
  <c r="I379" i="7"/>
  <c r="K379" i="7"/>
  <c r="L379" i="7" s="1"/>
  <c r="U379" i="7" s="1"/>
  <c r="A380" i="7"/>
  <c r="B380" i="7"/>
  <c r="C380" i="7"/>
  <c r="D380" i="7"/>
  <c r="E380" i="7"/>
  <c r="G380" i="7"/>
  <c r="H380" i="7"/>
  <c r="I380" i="7"/>
  <c r="K380" i="7"/>
  <c r="L380" i="7" s="1"/>
  <c r="U380" i="7" s="1"/>
  <c r="A381" i="7"/>
  <c r="B381" i="7"/>
  <c r="C381" i="7"/>
  <c r="D381" i="7"/>
  <c r="E381" i="7"/>
  <c r="G381" i="7"/>
  <c r="H381" i="7"/>
  <c r="I381" i="7"/>
  <c r="K381" i="7"/>
  <c r="L381" i="7" s="1"/>
  <c r="U381" i="7" s="1"/>
  <c r="S380" i="7" l="1"/>
  <c r="R380" i="7"/>
  <c r="T380" i="7" s="1"/>
  <c r="W380" i="7" s="1"/>
  <c r="R381" i="7"/>
  <c r="T381" i="7" s="1"/>
  <c r="S381" i="7"/>
  <c r="S379" i="7"/>
  <c r="R379" i="7"/>
  <c r="T379" i="7" s="1"/>
  <c r="V380" i="7" l="1"/>
  <c r="W379" i="7"/>
  <c r="V379" i="7"/>
  <c r="V381" i="7"/>
  <c r="W381" i="7"/>
  <c r="N422" i="5" l="1"/>
  <c r="O422" i="5" s="1"/>
  <c r="N420" i="5" l="1"/>
  <c r="O420" i="5" s="1"/>
  <c r="V59" i="8" l="1"/>
  <c r="U59" i="8"/>
  <c r="X59" i="8" s="1"/>
  <c r="D59" i="8"/>
  <c r="F59" i="8"/>
  <c r="W59" i="8" l="1"/>
  <c r="P378" i="7"/>
  <c r="Q378" i="7" s="1"/>
  <c r="P377" i="7"/>
  <c r="Q377" i="7" s="1"/>
  <c r="P376" i="7"/>
  <c r="Q376" i="7" s="1"/>
  <c r="P375" i="7"/>
  <c r="Q375" i="7" s="1"/>
  <c r="P374" i="7"/>
  <c r="Q374" i="7" s="1"/>
  <c r="P373" i="7"/>
  <c r="Q373" i="7" s="1"/>
  <c r="P372" i="7"/>
  <c r="Q372" i="7" s="1"/>
  <c r="P371" i="7"/>
  <c r="Q371" i="7" s="1"/>
  <c r="A377" i="7"/>
  <c r="B377" i="7"/>
  <c r="C377" i="7"/>
  <c r="D377" i="7"/>
  <c r="E377" i="7"/>
  <c r="G377" i="7"/>
  <c r="H377" i="7"/>
  <c r="I377" i="7"/>
  <c r="K377" i="7"/>
  <c r="L377" i="7" s="1"/>
  <c r="A378" i="7"/>
  <c r="B378" i="7"/>
  <c r="C378" i="7"/>
  <c r="D378" i="7"/>
  <c r="E378" i="7"/>
  <c r="G378" i="7"/>
  <c r="H378" i="7"/>
  <c r="I378" i="7"/>
  <c r="K378" i="7"/>
  <c r="L378" i="7" s="1"/>
  <c r="A375" i="7"/>
  <c r="B375" i="7"/>
  <c r="C375" i="7"/>
  <c r="D375" i="7"/>
  <c r="E375" i="7"/>
  <c r="G375" i="7"/>
  <c r="H375" i="7"/>
  <c r="I375" i="7"/>
  <c r="K375" i="7"/>
  <c r="L375" i="7" s="1"/>
  <c r="U375" i="7" s="1"/>
  <c r="A376" i="7"/>
  <c r="B376" i="7"/>
  <c r="C376" i="7"/>
  <c r="D376" i="7"/>
  <c r="E376" i="7"/>
  <c r="G376" i="7"/>
  <c r="H376" i="7"/>
  <c r="I376" i="7"/>
  <c r="K376" i="7"/>
  <c r="L376" i="7" s="1"/>
  <c r="U376" i="7" s="1"/>
  <c r="A371" i="7"/>
  <c r="B371" i="7"/>
  <c r="C371" i="7"/>
  <c r="D371" i="7"/>
  <c r="E371" i="7"/>
  <c r="G371" i="7"/>
  <c r="H371" i="7"/>
  <c r="I371" i="7"/>
  <c r="K371" i="7"/>
  <c r="L371" i="7" s="1"/>
  <c r="U371" i="7" s="1"/>
  <c r="A372" i="7"/>
  <c r="B372" i="7"/>
  <c r="C372" i="7"/>
  <c r="D372" i="7"/>
  <c r="E372" i="7"/>
  <c r="G372" i="7"/>
  <c r="H372" i="7"/>
  <c r="I372" i="7"/>
  <c r="K372" i="7"/>
  <c r="L372" i="7" s="1"/>
  <c r="U372" i="7" s="1"/>
  <c r="A373" i="7"/>
  <c r="B373" i="7"/>
  <c r="C373" i="7"/>
  <c r="D373" i="7"/>
  <c r="E373" i="7"/>
  <c r="G373" i="7"/>
  <c r="H373" i="7"/>
  <c r="I373" i="7"/>
  <c r="K373" i="7"/>
  <c r="L373" i="7" s="1"/>
  <c r="U373" i="7" s="1"/>
  <c r="A374" i="7"/>
  <c r="B374" i="7"/>
  <c r="C374" i="7"/>
  <c r="D374" i="7"/>
  <c r="E374" i="7"/>
  <c r="G374" i="7"/>
  <c r="H374" i="7"/>
  <c r="I374" i="7"/>
  <c r="K374" i="7"/>
  <c r="L374" i="7" s="1"/>
  <c r="U374" i="7" s="1"/>
  <c r="L417" i="5"/>
  <c r="N417" i="5"/>
  <c r="O417" i="5" s="1"/>
  <c r="S377" i="7" l="1"/>
  <c r="R377" i="7"/>
  <c r="T377" i="7" s="1"/>
  <c r="V377" i="7" s="1"/>
  <c r="U377" i="7"/>
  <c r="X377" i="7" s="1"/>
  <c r="U378" i="7"/>
  <c r="X384" i="7" s="1"/>
  <c r="S378" i="7"/>
  <c r="R378" i="7"/>
  <c r="T378" i="7" s="1"/>
  <c r="V378" i="7" s="1"/>
  <c r="Z384" i="7" s="1"/>
  <c r="S376" i="7"/>
  <c r="R376" i="7"/>
  <c r="T376" i="7" s="1"/>
  <c r="S375" i="7"/>
  <c r="R375" i="7"/>
  <c r="T375" i="7" s="1"/>
  <c r="S374" i="7"/>
  <c r="R374" i="7"/>
  <c r="T374" i="7" s="1"/>
  <c r="S373" i="7"/>
  <c r="R373" i="7"/>
  <c r="T373" i="7" s="1"/>
  <c r="S372" i="7"/>
  <c r="R372" i="7"/>
  <c r="T372" i="7" s="1"/>
  <c r="R371" i="7"/>
  <c r="T371" i="7" s="1"/>
  <c r="S371" i="7"/>
  <c r="V58" i="8"/>
  <c r="U58" i="8" s="1"/>
  <c r="D58" i="8"/>
  <c r="F58" i="8" s="1"/>
  <c r="A369" i="7"/>
  <c r="B369" i="7"/>
  <c r="C369" i="7"/>
  <c r="D369" i="7"/>
  <c r="E369" i="7"/>
  <c r="G369" i="7"/>
  <c r="H369" i="7"/>
  <c r="I369" i="7"/>
  <c r="K369" i="7"/>
  <c r="L369" i="7" s="1"/>
  <c r="U369" i="7" s="1"/>
  <c r="P369" i="7"/>
  <c r="Q369" i="7" s="1"/>
  <c r="A370" i="7"/>
  <c r="B370" i="7"/>
  <c r="C370" i="7"/>
  <c r="D370" i="7"/>
  <c r="E370" i="7"/>
  <c r="G370" i="7"/>
  <c r="H370" i="7"/>
  <c r="I370" i="7"/>
  <c r="K370" i="7"/>
  <c r="L370" i="7" s="1"/>
  <c r="U370" i="7" s="1"/>
  <c r="P370" i="7"/>
  <c r="Q370" i="7" s="1"/>
  <c r="W377" i="7" l="1"/>
  <c r="Y384" i="7"/>
  <c r="S370" i="7"/>
  <c r="S369" i="7"/>
  <c r="W378" i="7"/>
  <c r="AA384" i="7" s="1"/>
  <c r="Y377" i="7"/>
  <c r="V376" i="7"/>
  <c r="W376" i="7"/>
  <c r="V375" i="7"/>
  <c r="W375" i="7"/>
  <c r="V374" i="7"/>
  <c r="W374" i="7"/>
  <c r="V373" i="7"/>
  <c r="W373" i="7"/>
  <c r="V372" i="7"/>
  <c r="W372" i="7"/>
  <c r="W371" i="7"/>
  <c r="V371" i="7"/>
  <c r="X58" i="8"/>
  <c r="W58" i="8"/>
  <c r="R370" i="7"/>
  <c r="T370" i="7" s="1"/>
  <c r="W370" i="7" s="1"/>
  <c r="R369" i="7"/>
  <c r="T369" i="7" s="1"/>
  <c r="V369" i="7" s="1"/>
  <c r="A367" i="7"/>
  <c r="B367" i="7"/>
  <c r="C367" i="7"/>
  <c r="D367" i="7"/>
  <c r="E367" i="7"/>
  <c r="G367" i="7"/>
  <c r="H367" i="7"/>
  <c r="I367" i="7"/>
  <c r="K367" i="7"/>
  <c r="L367" i="7" s="1"/>
  <c r="P367" i="7"/>
  <c r="Q367" i="7" s="1"/>
  <c r="A368" i="7"/>
  <c r="B368" i="7"/>
  <c r="C368" i="7"/>
  <c r="D368" i="7"/>
  <c r="E368" i="7"/>
  <c r="G368" i="7"/>
  <c r="H368" i="7"/>
  <c r="I368" i="7"/>
  <c r="K368" i="7"/>
  <c r="L368" i="7" s="1"/>
  <c r="U368" i="7" s="1"/>
  <c r="P368" i="7"/>
  <c r="Q368" i="7" s="1"/>
  <c r="L410" i="5"/>
  <c r="N409" i="5"/>
  <c r="O409" i="5" s="1"/>
  <c r="N410" i="5"/>
  <c r="O410" i="5" s="1"/>
  <c r="Z377" i="7" l="1"/>
  <c r="AA377" i="7"/>
  <c r="R368" i="7"/>
  <c r="T368" i="7" s="1"/>
  <c r="V368" i="7" s="1"/>
  <c r="V370" i="7"/>
  <c r="W369" i="7"/>
  <c r="S368" i="7"/>
  <c r="R367" i="7"/>
  <c r="T367" i="7" s="1"/>
  <c r="S367" i="7"/>
  <c r="U367" i="7"/>
  <c r="A365" i="7"/>
  <c r="B365" i="7"/>
  <c r="C365" i="7"/>
  <c r="D365" i="7"/>
  <c r="E365" i="7"/>
  <c r="G365" i="7"/>
  <c r="H365" i="7"/>
  <c r="I365" i="7"/>
  <c r="K365" i="7"/>
  <c r="L365" i="7" s="1"/>
  <c r="P365" i="7"/>
  <c r="Q365" i="7" s="1"/>
  <c r="A366" i="7"/>
  <c r="B366" i="7"/>
  <c r="C366" i="7"/>
  <c r="D366" i="7"/>
  <c r="E366" i="7"/>
  <c r="G366" i="7"/>
  <c r="H366" i="7"/>
  <c r="I366" i="7"/>
  <c r="K366" i="7"/>
  <c r="L366" i="7" s="1"/>
  <c r="P366" i="7"/>
  <c r="Q366" i="7" s="1"/>
  <c r="A364" i="7"/>
  <c r="B364" i="7"/>
  <c r="C364" i="7"/>
  <c r="D364" i="7"/>
  <c r="E364" i="7"/>
  <c r="G364" i="7"/>
  <c r="H364" i="7"/>
  <c r="I364" i="7"/>
  <c r="K364" i="7"/>
  <c r="L364" i="7" s="1"/>
  <c r="P364" i="7"/>
  <c r="Q364" i="7" s="1"/>
  <c r="N408" i="5"/>
  <c r="O408" i="5" s="1"/>
  <c r="R365" i="7" l="1"/>
  <c r="T365" i="7" s="1"/>
  <c r="R364" i="7"/>
  <c r="T364" i="7" s="1"/>
  <c r="V364" i="7" s="1"/>
  <c r="W368" i="7"/>
  <c r="V367" i="7"/>
  <c r="W367" i="7"/>
  <c r="R366" i="7"/>
  <c r="T366" i="7" s="1"/>
  <c r="W366" i="7" s="1"/>
  <c r="S366" i="7"/>
  <c r="V365" i="7"/>
  <c r="W365" i="7"/>
  <c r="U365" i="7"/>
  <c r="S365" i="7"/>
  <c r="U366" i="7"/>
  <c r="S364" i="7"/>
  <c r="U364" i="7"/>
  <c r="V57" i="8"/>
  <c r="W57" i="8"/>
  <c r="X57" i="8"/>
  <c r="F57" i="8"/>
  <c r="U56" i="8"/>
  <c r="W56" i="8"/>
  <c r="V56" i="8"/>
  <c r="E56" i="8"/>
  <c r="F56" i="8"/>
  <c r="G363" i="7"/>
  <c r="P363" i="7"/>
  <c r="Q363" i="7" s="1"/>
  <c r="I363" i="7"/>
  <c r="H363" i="7"/>
  <c r="K363" i="7"/>
  <c r="L363" i="7" s="1"/>
  <c r="A363" i="7"/>
  <c r="B363" i="7"/>
  <c r="C363" i="7"/>
  <c r="D363" i="7"/>
  <c r="E363" i="7"/>
  <c r="A360" i="7"/>
  <c r="B360" i="7"/>
  <c r="C360" i="7"/>
  <c r="D360" i="7"/>
  <c r="E360" i="7"/>
  <c r="G360" i="7"/>
  <c r="H360" i="7"/>
  <c r="I360" i="7"/>
  <c r="K360" i="7"/>
  <c r="L360" i="7" s="1"/>
  <c r="P360" i="7"/>
  <c r="Q360" i="7" s="1"/>
  <c r="A361" i="7"/>
  <c r="B361" i="7"/>
  <c r="C361" i="7"/>
  <c r="D361" i="7"/>
  <c r="E361" i="7"/>
  <c r="G361" i="7"/>
  <c r="H361" i="7"/>
  <c r="I361" i="7"/>
  <c r="K361" i="7"/>
  <c r="L361" i="7" s="1"/>
  <c r="P361" i="7"/>
  <c r="Q361" i="7" s="1"/>
  <c r="A362" i="7"/>
  <c r="B362" i="7"/>
  <c r="C362" i="7"/>
  <c r="D362" i="7"/>
  <c r="E362" i="7"/>
  <c r="G362" i="7"/>
  <c r="H362" i="7"/>
  <c r="I362" i="7"/>
  <c r="K362" i="7"/>
  <c r="L362" i="7" s="1"/>
  <c r="P362" i="7"/>
  <c r="Q362" i="7" s="1"/>
  <c r="A359" i="7"/>
  <c r="B359" i="7"/>
  <c r="C359" i="7"/>
  <c r="D359" i="7"/>
  <c r="E359" i="7"/>
  <c r="G359" i="7"/>
  <c r="H359" i="7"/>
  <c r="I359" i="7"/>
  <c r="K359" i="7"/>
  <c r="L359" i="7" s="1"/>
  <c r="P359" i="7"/>
  <c r="Q359" i="7" s="1"/>
  <c r="X56" i="8"/>
  <c r="N395" i="5"/>
  <c r="O395" i="5" s="1"/>
  <c r="A357" i="7"/>
  <c r="B357" i="7"/>
  <c r="C357" i="7"/>
  <c r="D357" i="7"/>
  <c r="E357" i="7"/>
  <c r="G357" i="7"/>
  <c r="H357" i="7"/>
  <c r="I357" i="7"/>
  <c r="K357" i="7"/>
  <c r="L357" i="7" s="1"/>
  <c r="P357" i="7"/>
  <c r="Q357" i="7" s="1"/>
  <c r="A358" i="7"/>
  <c r="B358" i="7"/>
  <c r="C358" i="7"/>
  <c r="D358" i="7"/>
  <c r="E358" i="7"/>
  <c r="G358" i="7"/>
  <c r="H358" i="7"/>
  <c r="I358" i="7"/>
  <c r="P358" i="7"/>
  <c r="Q358" i="7" s="1"/>
  <c r="A354" i="7"/>
  <c r="B354" i="7"/>
  <c r="C354" i="7"/>
  <c r="D354" i="7"/>
  <c r="E354" i="7"/>
  <c r="G354" i="7"/>
  <c r="H354" i="7"/>
  <c r="I354" i="7"/>
  <c r="K354" i="7"/>
  <c r="L354" i="7" s="1"/>
  <c r="P354" i="7"/>
  <c r="Q354" i="7" s="1"/>
  <c r="A355" i="7"/>
  <c r="B355" i="7"/>
  <c r="C355" i="7"/>
  <c r="D355" i="7"/>
  <c r="E355" i="7"/>
  <c r="G355" i="7"/>
  <c r="H355" i="7"/>
  <c r="I355" i="7"/>
  <c r="K355" i="7"/>
  <c r="L355" i="7" s="1"/>
  <c r="P355" i="7"/>
  <c r="Q355" i="7" s="1"/>
  <c r="A356" i="7"/>
  <c r="B356" i="7"/>
  <c r="C356" i="7"/>
  <c r="D356" i="7"/>
  <c r="E356" i="7"/>
  <c r="G356" i="7"/>
  <c r="H356" i="7"/>
  <c r="I356" i="7"/>
  <c r="K356" i="7"/>
  <c r="L356" i="7" s="1"/>
  <c r="U356" i="7" s="1"/>
  <c r="P356" i="7"/>
  <c r="Q356" i="7" s="1"/>
  <c r="A352" i="7"/>
  <c r="B352" i="7"/>
  <c r="C352" i="7"/>
  <c r="D352" i="7"/>
  <c r="E352" i="7"/>
  <c r="G352" i="7"/>
  <c r="H352" i="7"/>
  <c r="I352" i="7"/>
  <c r="K352" i="7"/>
  <c r="L352" i="7" s="1"/>
  <c r="P352" i="7"/>
  <c r="Q352" i="7" s="1"/>
  <c r="A353" i="7"/>
  <c r="B353" i="7"/>
  <c r="C353" i="7"/>
  <c r="D353" i="7"/>
  <c r="E353" i="7"/>
  <c r="G353" i="7"/>
  <c r="H353" i="7"/>
  <c r="I353" i="7"/>
  <c r="K353" i="7"/>
  <c r="L353" i="7" s="1"/>
  <c r="P353" i="7"/>
  <c r="Q353" i="7" s="1"/>
  <c r="N394" i="5"/>
  <c r="O394" i="5" s="1"/>
  <c r="V55" i="8"/>
  <c r="U55" i="8"/>
  <c r="W55" i="8" s="1"/>
  <c r="D55" i="8"/>
  <c r="F55" i="8"/>
  <c r="K393" i="5"/>
  <c r="L393" i="5" s="1"/>
  <c r="N393" i="5"/>
  <c r="O393" i="5" s="1"/>
  <c r="N392" i="5"/>
  <c r="O392" i="5" s="1"/>
  <c r="N391" i="5"/>
  <c r="O391" i="5" s="1"/>
  <c r="N390" i="5"/>
  <c r="O390" i="5" s="1"/>
  <c r="N389" i="5"/>
  <c r="O389" i="5" s="1"/>
  <c r="N388" i="5"/>
  <c r="O388" i="5" s="1"/>
  <c r="A351" i="7"/>
  <c r="B351" i="7"/>
  <c r="C351" i="7"/>
  <c r="D351" i="7"/>
  <c r="E351" i="7"/>
  <c r="G351" i="7"/>
  <c r="H351" i="7"/>
  <c r="I351" i="7"/>
  <c r="K351" i="7"/>
  <c r="L351" i="7" s="1"/>
  <c r="U351" i="7" s="1"/>
  <c r="P351" i="7"/>
  <c r="Q351" i="7" s="1"/>
  <c r="A348" i="7"/>
  <c r="B348" i="7"/>
  <c r="C348" i="7"/>
  <c r="D348" i="7"/>
  <c r="E348" i="7"/>
  <c r="G348" i="7"/>
  <c r="H348" i="7"/>
  <c r="I348" i="7"/>
  <c r="K348" i="7"/>
  <c r="L348" i="7" s="1"/>
  <c r="P348" i="7"/>
  <c r="Q348" i="7" s="1"/>
  <c r="A349" i="7"/>
  <c r="B349" i="7"/>
  <c r="C349" i="7"/>
  <c r="D349" i="7"/>
  <c r="E349" i="7"/>
  <c r="G349" i="7"/>
  <c r="H349" i="7"/>
  <c r="I349" i="7"/>
  <c r="K349" i="7"/>
  <c r="L349" i="7" s="1"/>
  <c r="P349" i="7"/>
  <c r="Q349" i="7" s="1"/>
  <c r="A350" i="7"/>
  <c r="B350" i="7"/>
  <c r="C350" i="7"/>
  <c r="D350" i="7"/>
  <c r="E350" i="7"/>
  <c r="G350" i="7"/>
  <c r="H350" i="7"/>
  <c r="I350" i="7"/>
  <c r="K350" i="7"/>
  <c r="L350" i="7" s="1"/>
  <c r="P350" i="7"/>
  <c r="Q350" i="7" s="1"/>
  <c r="A345" i="7"/>
  <c r="B345" i="7"/>
  <c r="C345" i="7"/>
  <c r="D345" i="7"/>
  <c r="E345" i="7"/>
  <c r="G345" i="7"/>
  <c r="H345" i="7"/>
  <c r="I345" i="7"/>
  <c r="K345" i="7"/>
  <c r="L345" i="7" s="1"/>
  <c r="P345" i="7"/>
  <c r="Q345" i="7" s="1"/>
  <c r="A346" i="7"/>
  <c r="B346" i="7"/>
  <c r="C346" i="7"/>
  <c r="D346" i="7"/>
  <c r="E346" i="7"/>
  <c r="G346" i="7"/>
  <c r="H346" i="7"/>
  <c r="I346" i="7"/>
  <c r="K346" i="7"/>
  <c r="L346" i="7" s="1"/>
  <c r="P346" i="7"/>
  <c r="Q346" i="7" s="1"/>
  <c r="A347" i="7"/>
  <c r="B347" i="7"/>
  <c r="C347" i="7"/>
  <c r="D347" i="7"/>
  <c r="E347" i="7"/>
  <c r="G347" i="7"/>
  <c r="H347" i="7"/>
  <c r="I347" i="7"/>
  <c r="K347" i="7"/>
  <c r="L347" i="7" s="1"/>
  <c r="P347" i="7"/>
  <c r="Q347" i="7" s="1"/>
  <c r="N387" i="5"/>
  <c r="O387" i="5" s="1"/>
  <c r="L387" i="5"/>
  <c r="V54" i="8"/>
  <c r="U54" i="8" s="1"/>
  <c r="F53" i="8"/>
  <c r="F54" i="8"/>
  <c r="A344" i="7"/>
  <c r="B344" i="7"/>
  <c r="C344" i="7"/>
  <c r="D344" i="7"/>
  <c r="E344" i="7"/>
  <c r="G344" i="7"/>
  <c r="H344" i="7"/>
  <c r="I344" i="7"/>
  <c r="K344" i="7"/>
  <c r="L344" i="7" s="1"/>
  <c r="P344" i="7"/>
  <c r="Q344" i="7" s="1"/>
  <c r="A339" i="7"/>
  <c r="B339" i="7"/>
  <c r="C339" i="7"/>
  <c r="D339" i="7"/>
  <c r="E339" i="7"/>
  <c r="G339" i="7"/>
  <c r="H339" i="7"/>
  <c r="I339" i="7"/>
  <c r="K339" i="7"/>
  <c r="L339" i="7" s="1"/>
  <c r="P339" i="7"/>
  <c r="Q339" i="7" s="1"/>
  <c r="A340" i="7"/>
  <c r="B340" i="7"/>
  <c r="C340" i="7"/>
  <c r="D340" i="7"/>
  <c r="E340" i="7"/>
  <c r="G340" i="7"/>
  <c r="H340" i="7"/>
  <c r="I340" i="7"/>
  <c r="K340" i="7"/>
  <c r="L340" i="7" s="1"/>
  <c r="P340" i="7"/>
  <c r="Q340" i="7" s="1"/>
  <c r="A341" i="7"/>
  <c r="B341" i="7"/>
  <c r="C341" i="7"/>
  <c r="D341" i="7"/>
  <c r="E341" i="7"/>
  <c r="G341" i="7"/>
  <c r="H341" i="7"/>
  <c r="I341" i="7"/>
  <c r="K341" i="7"/>
  <c r="L341" i="7" s="1"/>
  <c r="P341" i="7"/>
  <c r="Q341" i="7" s="1"/>
  <c r="A342" i="7"/>
  <c r="B342" i="7"/>
  <c r="C342" i="7"/>
  <c r="D342" i="7"/>
  <c r="E342" i="7"/>
  <c r="G342" i="7"/>
  <c r="H342" i="7"/>
  <c r="I342" i="7"/>
  <c r="K342" i="7"/>
  <c r="L342" i="7" s="1"/>
  <c r="P342" i="7"/>
  <c r="Q342" i="7" s="1"/>
  <c r="A343" i="7"/>
  <c r="B343" i="7"/>
  <c r="C343" i="7"/>
  <c r="D343" i="7"/>
  <c r="E343" i="7"/>
  <c r="G343" i="7"/>
  <c r="H343" i="7"/>
  <c r="I343" i="7"/>
  <c r="K343" i="7"/>
  <c r="L343" i="7" s="1"/>
  <c r="P343" i="7"/>
  <c r="Q343" i="7" s="1"/>
  <c r="N386" i="5"/>
  <c r="O386" i="5" s="1"/>
  <c r="N385" i="5"/>
  <c r="O385" i="5" s="1"/>
  <c r="N383" i="5"/>
  <c r="O383" i="5" s="1"/>
  <c r="N382" i="5"/>
  <c r="O382" i="5" s="1"/>
  <c r="V53" i="8"/>
  <c r="U53" i="8"/>
  <c r="W53" i="8" s="1"/>
  <c r="L380" i="5"/>
  <c r="A336" i="7"/>
  <c r="B336" i="7"/>
  <c r="C336" i="7"/>
  <c r="D336" i="7"/>
  <c r="E336" i="7"/>
  <c r="G336" i="7"/>
  <c r="H336" i="7"/>
  <c r="I336" i="7"/>
  <c r="K336" i="7"/>
  <c r="L336" i="7" s="1"/>
  <c r="P336" i="7"/>
  <c r="Q336" i="7" s="1"/>
  <c r="A337" i="7"/>
  <c r="B337" i="7"/>
  <c r="C337" i="7"/>
  <c r="D337" i="7"/>
  <c r="E337" i="7"/>
  <c r="G337" i="7"/>
  <c r="H337" i="7"/>
  <c r="I337" i="7"/>
  <c r="K337" i="7"/>
  <c r="L337" i="7" s="1"/>
  <c r="P337" i="7"/>
  <c r="Q337" i="7" s="1"/>
  <c r="A338" i="7"/>
  <c r="B338" i="7"/>
  <c r="C338" i="7"/>
  <c r="D338" i="7"/>
  <c r="E338" i="7"/>
  <c r="G338" i="7"/>
  <c r="H338" i="7"/>
  <c r="I338" i="7"/>
  <c r="K338" i="7"/>
  <c r="L338" i="7" s="1"/>
  <c r="P338" i="7"/>
  <c r="Q338" i="7" s="1"/>
  <c r="N380" i="5"/>
  <c r="O380" i="5" s="1"/>
  <c r="A335" i="7"/>
  <c r="B335" i="7"/>
  <c r="C335" i="7"/>
  <c r="D335" i="7"/>
  <c r="E335" i="7"/>
  <c r="G335" i="7"/>
  <c r="H335" i="7"/>
  <c r="I335" i="7"/>
  <c r="K335" i="7"/>
  <c r="L335" i="7" s="1"/>
  <c r="U335" i="7" s="1"/>
  <c r="P335" i="7"/>
  <c r="Q335" i="7" s="1"/>
  <c r="N377" i="5"/>
  <c r="O377" i="5" s="1"/>
  <c r="V52" i="8"/>
  <c r="U52" i="8"/>
  <c r="X52" i="8" s="1"/>
  <c r="D52" i="8"/>
  <c r="F52" i="8" s="1"/>
  <c r="L376" i="5"/>
  <c r="N376" i="5"/>
  <c r="O376" i="5" s="1"/>
  <c r="W52" i="8"/>
  <c r="N375" i="5"/>
  <c r="O375" i="5" s="1"/>
  <c r="A329" i="7"/>
  <c r="B329" i="7"/>
  <c r="C329" i="7"/>
  <c r="D329" i="7"/>
  <c r="E329" i="7"/>
  <c r="G329" i="7"/>
  <c r="H329" i="7"/>
  <c r="I329" i="7"/>
  <c r="K329" i="7"/>
  <c r="L329" i="7" s="1"/>
  <c r="P329" i="7"/>
  <c r="Q329" i="7" s="1"/>
  <c r="A330" i="7"/>
  <c r="B330" i="7"/>
  <c r="C330" i="7"/>
  <c r="D330" i="7"/>
  <c r="E330" i="7"/>
  <c r="G330" i="7"/>
  <c r="H330" i="7"/>
  <c r="I330" i="7"/>
  <c r="K330" i="7"/>
  <c r="L330" i="7" s="1"/>
  <c r="P330" i="7"/>
  <c r="Q330" i="7" s="1"/>
  <c r="A331" i="7"/>
  <c r="B331" i="7"/>
  <c r="C331" i="7"/>
  <c r="D331" i="7"/>
  <c r="E331" i="7"/>
  <c r="G331" i="7"/>
  <c r="H331" i="7"/>
  <c r="I331" i="7"/>
  <c r="K331" i="7"/>
  <c r="L331" i="7" s="1"/>
  <c r="U331" i="7" s="1"/>
  <c r="P331" i="7"/>
  <c r="Q331" i="7" s="1"/>
  <c r="A332" i="7"/>
  <c r="B332" i="7"/>
  <c r="C332" i="7"/>
  <c r="D332" i="7"/>
  <c r="E332" i="7"/>
  <c r="G332" i="7"/>
  <c r="H332" i="7"/>
  <c r="I332" i="7"/>
  <c r="K332" i="7"/>
  <c r="L332" i="7" s="1"/>
  <c r="P332" i="7"/>
  <c r="Q332" i="7" s="1"/>
  <c r="A333" i="7"/>
  <c r="B333" i="7"/>
  <c r="C333" i="7"/>
  <c r="D333" i="7"/>
  <c r="E333" i="7"/>
  <c r="G333" i="7"/>
  <c r="H333" i="7"/>
  <c r="I333" i="7"/>
  <c r="K333" i="7"/>
  <c r="L333" i="7" s="1"/>
  <c r="P333" i="7"/>
  <c r="Q333" i="7" s="1"/>
  <c r="A334" i="7"/>
  <c r="B334" i="7"/>
  <c r="C334" i="7"/>
  <c r="D334" i="7"/>
  <c r="E334" i="7"/>
  <c r="G334" i="7"/>
  <c r="H334" i="7"/>
  <c r="I334" i="7"/>
  <c r="K334" i="7"/>
  <c r="L334" i="7" s="1"/>
  <c r="P334" i="7"/>
  <c r="Q334" i="7" s="1"/>
  <c r="N374" i="5"/>
  <c r="O374" i="5" s="1"/>
  <c r="V50" i="8"/>
  <c r="V51" i="8"/>
  <c r="U51" i="8"/>
  <c r="W51" i="8"/>
  <c r="X51" i="8"/>
  <c r="W50" i="8"/>
  <c r="X50" i="8"/>
  <c r="F50" i="8"/>
  <c r="F51" i="8"/>
  <c r="A328" i="7"/>
  <c r="B328" i="7"/>
  <c r="C328" i="7"/>
  <c r="D328" i="7"/>
  <c r="E328" i="7"/>
  <c r="G328" i="7"/>
  <c r="H328" i="7"/>
  <c r="I328" i="7"/>
  <c r="K328" i="7"/>
  <c r="L328" i="7" s="1"/>
  <c r="P328" i="7"/>
  <c r="Q328" i="7" s="1"/>
  <c r="A323" i="7"/>
  <c r="B323" i="7"/>
  <c r="C323" i="7"/>
  <c r="D323" i="7"/>
  <c r="E323" i="7"/>
  <c r="G323" i="7"/>
  <c r="H323" i="7"/>
  <c r="I323" i="7"/>
  <c r="K323" i="7"/>
  <c r="L323" i="7" s="1"/>
  <c r="P323" i="7"/>
  <c r="Q323" i="7" s="1"/>
  <c r="A324" i="7"/>
  <c r="B324" i="7"/>
  <c r="C324" i="7"/>
  <c r="D324" i="7"/>
  <c r="E324" i="7"/>
  <c r="G324" i="7"/>
  <c r="H324" i="7"/>
  <c r="I324" i="7"/>
  <c r="K324" i="7"/>
  <c r="L324" i="7" s="1"/>
  <c r="P324" i="7"/>
  <c r="Q324" i="7" s="1"/>
  <c r="A325" i="7"/>
  <c r="B325" i="7"/>
  <c r="C325" i="7"/>
  <c r="D325" i="7"/>
  <c r="E325" i="7"/>
  <c r="G325" i="7"/>
  <c r="H325" i="7"/>
  <c r="I325" i="7"/>
  <c r="K325" i="7"/>
  <c r="L325" i="7" s="1"/>
  <c r="P325" i="7"/>
  <c r="Q325" i="7" s="1"/>
  <c r="A326" i="7"/>
  <c r="B326" i="7"/>
  <c r="C326" i="7"/>
  <c r="D326" i="7"/>
  <c r="E326" i="7"/>
  <c r="G326" i="7"/>
  <c r="H326" i="7"/>
  <c r="I326" i="7"/>
  <c r="K326" i="7"/>
  <c r="L326" i="7" s="1"/>
  <c r="P326" i="7"/>
  <c r="Q326" i="7" s="1"/>
  <c r="A327" i="7"/>
  <c r="B327" i="7"/>
  <c r="C327" i="7"/>
  <c r="D327" i="7"/>
  <c r="E327" i="7"/>
  <c r="G327" i="7"/>
  <c r="H327" i="7"/>
  <c r="I327" i="7"/>
  <c r="K327" i="7"/>
  <c r="L327" i="7" s="1"/>
  <c r="P327" i="7"/>
  <c r="Q327" i="7" s="1"/>
  <c r="N367" i="5"/>
  <c r="O367" i="5" s="1"/>
  <c r="N366" i="5"/>
  <c r="O366" i="5" s="1"/>
  <c r="AJ48" i="8"/>
  <c r="AJ46" i="8"/>
  <c r="AE37" i="8"/>
  <c r="AJ47" i="8" s="1"/>
  <c r="AC37" i="8"/>
  <c r="AJ45" i="8" s="1"/>
  <c r="U37" i="8"/>
  <c r="W37" i="8" s="1"/>
  <c r="V49" i="8"/>
  <c r="U49" i="8"/>
  <c r="W49" i="8" s="1"/>
  <c r="F49" i="8"/>
  <c r="A321" i="7"/>
  <c r="B321" i="7"/>
  <c r="C321" i="7"/>
  <c r="D321" i="7"/>
  <c r="E321" i="7"/>
  <c r="G321" i="7"/>
  <c r="H321" i="7"/>
  <c r="I321" i="7"/>
  <c r="K321" i="7"/>
  <c r="L321" i="7" s="1"/>
  <c r="P321" i="7"/>
  <c r="Q321" i="7" s="1"/>
  <c r="A319" i="7"/>
  <c r="B319" i="7"/>
  <c r="C319" i="7"/>
  <c r="D319" i="7"/>
  <c r="E319" i="7"/>
  <c r="G319" i="7"/>
  <c r="H319" i="7"/>
  <c r="I319" i="7"/>
  <c r="K319" i="7"/>
  <c r="L319" i="7" s="1"/>
  <c r="P319" i="7"/>
  <c r="Q319" i="7" s="1"/>
  <c r="A320" i="7"/>
  <c r="B320" i="7"/>
  <c r="C320" i="7"/>
  <c r="D320" i="7"/>
  <c r="E320" i="7"/>
  <c r="G320" i="7"/>
  <c r="H320" i="7"/>
  <c r="I320" i="7"/>
  <c r="K320" i="7"/>
  <c r="L320" i="7" s="1"/>
  <c r="U320" i="7" s="1"/>
  <c r="P320" i="7"/>
  <c r="Q320" i="7" s="1"/>
  <c r="N362" i="5"/>
  <c r="O362" i="5" s="1"/>
  <c r="U48" i="8"/>
  <c r="W48" i="8" s="1"/>
  <c r="V48" i="8"/>
  <c r="D48" i="8"/>
  <c r="F48" i="8"/>
  <c r="A318" i="7"/>
  <c r="B318" i="7"/>
  <c r="C318" i="7"/>
  <c r="D318" i="7"/>
  <c r="E318" i="7"/>
  <c r="G318" i="7"/>
  <c r="H318" i="7"/>
  <c r="I318" i="7"/>
  <c r="K318" i="7"/>
  <c r="L318" i="7" s="1"/>
  <c r="P318" i="7"/>
  <c r="Q318" i="7" s="1"/>
  <c r="A315" i="7"/>
  <c r="B315" i="7"/>
  <c r="C315" i="7"/>
  <c r="D315" i="7"/>
  <c r="E315" i="7"/>
  <c r="G315" i="7"/>
  <c r="H315" i="7"/>
  <c r="I315" i="7"/>
  <c r="K315" i="7"/>
  <c r="L315" i="7" s="1"/>
  <c r="P315" i="7"/>
  <c r="Q315" i="7" s="1"/>
  <c r="A316" i="7"/>
  <c r="B316" i="7"/>
  <c r="C316" i="7"/>
  <c r="D316" i="7"/>
  <c r="E316" i="7"/>
  <c r="G316" i="7"/>
  <c r="H316" i="7"/>
  <c r="I316" i="7"/>
  <c r="K316" i="7"/>
  <c r="L316" i="7" s="1"/>
  <c r="P316" i="7"/>
  <c r="Q316" i="7" s="1"/>
  <c r="A317" i="7"/>
  <c r="B317" i="7"/>
  <c r="C317" i="7"/>
  <c r="D317" i="7"/>
  <c r="E317" i="7"/>
  <c r="G317" i="7"/>
  <c r="H317" i="7"/>
  <c r="I317" i="7"/>
  <c r="K317" i="7"/>
  <c r="L317" i="7" s="1"/>
  <c r="U317" i="7" s="1"/>
  <c r="P317" i="7"/>
  <c r="Q317" i="7" s="1"/>
  <c r="A313" i="7"/>
  <c r="B313" i="7"/>
  <c r="C313" i="7"/>
  <c r="D313" i="7"/>
  <c r="E313" i="7"/>
  <c r="G313" i="7"/>
  <c r="H313" i="7"/>
  <c r="I313" i="7"/>
  <c r="K313" i="7"/>
  <c r="L313" i="7" s="1"/>
  <c r="P313" i="7"/>
  <c r="Q313" i="7" s="1"/>
  <c r="A314" i="7"/>
  <c r="B314" i="7"/>
  <c r="C314" i="7"/>
  <c r="D314" i="7"/>
  <c r="E314" i="7"/>
  <c r="G314" i="7"/>
  <c r="H314" i="7"/>
  <c r="I314" i="7"/>
  <c r="K314" i="7"/>
  <c r="L314" i="7" s="1"/>
  <c r="P314" i="7"/>
  <c r="Q314" i="7" s="1"/>
  <c r="L354" i="5"/>
  <c r="N354" i="5"/>
  <c r="O354" i="5" s="1"/>
  <c r="U47" i="8"/>
  <c r="W47" i="8" s="1"/>
  <c r="V47" i="8"/>
  <c r="D47" i="8"/>
  <c r="F47" i="8"/>
  <c r="N353" i="5"/>
  <c r="O353" i="5" s="1"/>
  <c r="A312" i="7"/>
  <c r="B312" i="7"/>
  <c r="C312" i="7"/>
  <c r="D312" i="7"/>
  <c r="E312" i="7"/>
  <c r="G312" i="7"/>
  <c r="H312" i="7"/>
  <c r="I312" i="7"/>
  <c r="K312" i="7"/>
  <c r="L312" i="7" s="1"/>
  <c r="P312" i="7"/>
  <c r="Q312" i="7" s="1"/>
  <c r="A308" i="7"/>
  <c r="B308" i="7"/>
  <c r="C308" i="7"/>
  <c r="D308" i="7"/>
  <c r="E308" i="7"/>
  <c r="G308" i="7"/>
  <c r="H308" i="7"/>
  <c r="I308" i="7"/>
  <c r="K308" i="7"/>
  <c r="L308" i="7" s="1"/>
  <c r="P308" i="7"/>
  <c r="Q308" i="7" s="1"/>
  <c r="A309" i="7"/>
  <c r="B309" i="7"/>
  <c r="C309" i="7"/>
  <c r="D309" i="7"/>
  <c r="E309" i="7"/>
  <c r="G309" i="7"/>
  <c r="H309" i="7"/>
  <c r="I309" i="7"/>
  <c r="K309" i="7"/>
  <c r="L309" i="7" s="1"/>
  <c r="P309" i="7"/>
  <c r="Q309" i="7" s="1"/>
  <c r="A310" i="7"/>
  <c r="B310" i="7"/>
  <c r="C310" i="7"/>
  <c r="D310" i="7"/>
  <c r="E310" i="7"/>
  <c r="G310" i="7"/>
  <c r="H310" i="7"/>
  <c r="I310" i="7"/>
  <c r="K310" i="7"/>
  <c r="L310" i="7" s="1"/>
  <c r="P310" i="7"/>
  <c r="Q310" i="7" s="1"/>
  <c r="A311" i="7"/>
  <c r="B311" i="7"/>
  <c r="C311" i="7"/>
  <c r="D311" i="7"/>
  <c r="E311" i="7"/>
  <c r="G311" i="7"/>
  <c r="H311" i="7"/>
  <c r="I311" i="7"/>
  <c r="K311" i="7"/>
  <c r="L311" i="7" s="1"/>
  <c r="P311" i="7"/>
  <c r="Q311" i="7" s="1"/>
  <c r="F46" i="8"/>
  <c r="A302" i="7"/>
  <c r="B302" i="7"/>
  <c r="C302" i="7"/>
  <c r="D302" i="7"/>
  <c r="E302" i="7"/>
  <c r="G302" i="7"/>
  <c r="H302" i="7"/>
  <c r="I302" i="7"/>
  <c r="K302" i="7"/>
  <c r="L302" i="7" s="1"/>
  <c r="P302" i="7"/>
  <c r="Q302" i="7" s="1"/>
  <c r="A303" i="7"/>
  <c r="B303" i="7"/>
  <c r="C303" i="7"/>
  <c r="D303" i="7"/>
  <c r="E303" i="7"/>
  <c r="G303" i="7"/>
  <c r="H303" i="7"/>
  <c r="I303" i="7"/>
  <c r="K303" i="7"/>
  <c r="L303" i="7" s="1"/>
  <c r="P303" i="7"/>
  <c r="Q303" i="7" s="1"/>
  <c r="A304" i="7"/>
  <c r="B304" i="7"/>
  <c r="C304" i="7"/>
  <c r="D304" i="7"/>
  <c r="E304" i="7"/>
  <c r="G304" i="7"/>
  <c r="H304" i="7"/>
  <c r="I304" i="7"/>
  <c r="K304" i="7"/>
  <c r="L304" i="7" s="1"/>
  <c r="P304" i="7"/>
  <c r="Q304" i="7" s="1"/>
  <c r="A305" i="7"/>
  <c r="B305" i="7"/>
  <c r="C305" i="7"/>
  <c r="D305" i="7"/>
  <c r="E305" i="7"/>
  <c r="G305" i="7"/>
  <c r="H305" i="7"/>
  <c r="I305" i="7"/>
  <c r="K305" i="7"/>
  <c r="L305" i="7" s="1"/>
  <c r="P305" i="7"/>
  <c r="Q305" i="7" s="1"/>
  <c r="A306" i="7"/>
  <c r="B306" i="7"/>
  <c r="C306" i="7"/>
  <c r="D306" i="7"/>
  <c r="E306" i="7"/>
  <c r="G306" i="7"/>
  <c r="H306" i="7"/>
  <c r="I306" i="7"/>
  <c r="K306" i="7"/>
  <c r="L306" i="7" s="1"/>
  <c r="U306" i="7" s="1"/>
  <c r="P306" i="7"/>
  <c r="Q306" i="7" s="1"/>
  <c r="F45" i="8"/>
  <c r="A295" i="7"/>
  <c r="B295" i="7"/>
  <c r="C295" i="7"/>
  <c r="D295" i="7"/>
  <c r="E295" i="7"/>
  <c r="G295" i="7"/>
  <c r="H295" i="7"/>
  <c r="I295" i="7"/>
  <c r="K295" i="7"/>
  <c r="L295" i="7" s="1"/>
  <c r="P295" i="7"/>
  <c r="Q295" i="7" s="1"/>
  <c r="A296" i="7"/>
  <c r="B296" i="7"/>
  <c r="C296" i="7"/>
  <c r="D296" i="7"/>
  <c r="E296" i="7"/>
  <c r="G296" i="7"/>
  <c r="H296" i="7"/>
  <c r="I296" i="7"/>
  <c r="K296" i="7"/>
  <c r="L296" i="7" s="1"/>
  <c r="P296" i="7"/>
  <c r="Q296" i="7" s="1"/>
  <c r="A297" i="7"/>
  <c r="B297" i="7"/>
  <c r="C297" i="7"/>
  <c r="D297" i="7"/>
  <c r="E297" i="7"/>
  <c r="G297" i="7"/>
  <c r="H297" i="7"/>
  <c r="I297" i="7"/>
  <c r="K297" i="7"/>
  <c r="L297" i="7" s="1"/>
  <c r="P297" i="7"/>
  <c r="Q297" i="7" s="1"/>
  <c r="A298" i="7"/>
  <c r="B298" i="7"/>
  <c r="C298" i="7"/>
  <c r="D298" i="7"/>
  <c r="E298" i="7"/>
  <c r="G298" i="7"/>
  <c r="H298" i="7"/>
  <c r="I298" i="7"/>
  <c r="K298" i="7"/>
  <c r="L298" i="7" s="1"/>
  <c r="P298" i="7"/>
  <c r="Q298" i="7" s="1"/>
  <c r="A299" i="7"/>
  <c r="B299" i="7"/>
  <c r="C299" i="7"/>
  <c r="D299" i="7"/>
  <c r="E299" i="7"/>
  <c r="G299" i="7"/>
  <c r="H299" i="7"/>
  <c r="I299" i="7"/>
  <c r="K299" i="7"/>
  <c r="L299" i="7" s="1"/>
  <c r="P299" i="7"/>
  <c r="Q299" i="7" s="1"/>
  <c r="A300" i="7"/>
  <c r="B300" i="7"/>
  <c r="C300" i="7"/>
  <c r="D300" i="7"/>
  <c r="E300" i="7"/>
  <c r="G300" i="7"/>
  <c r="H300" i="7"/>
  <c r="I300" i="7"/>
  <c r="K300" i="7"/>
  <c r="L300" i="7" s="1"/>
  <c r="P300" i="7"/>
  <c r="Q300" i="7" s="1"/>
  <c r="A301" i="7"/>
  <c r="B301" i="7"/>
  <c r="C301" i="7"/>
  <c r="D301" i="7"/>
  <c r="E301" i="7"/>
  <c r="G301" i="7"/>
  <c r="H301" i="7"/>
  <c r="I301" i="7"/>
  <c r="K301" i="7"/>
  <c r="L301" i="7" s="1"/>
  <c r="U301" i="7" s="1"/>
  <c r="P301" i="7"/>
  <c r="Q301" i="7" s="1"/>
  <c r="V44" i="8"/>
  <c r="U44" i="8"/>
  <c r="W44" i="8"/>
  <c r="X44" i="8"/>
  <c r="E44" i="8"/>
  <c r="F44" i="8"/>
  <c r="B293" i="7"/>
  <c r="C293" i="7"/>
  <c r="D293" i="7"/>
  <c r="E293" i="7"/>
  <c r="G293" i="7"/>
  <c r="H293" i="7"/>
  <c r="I293" i="7"/>
  <c r="K293" i="7"/>
  <c r="L293" i="7" s="1"/>
  <c r="U293" i="7" s="1"/>
  <c r="P293" i="7"/>
  <c r="Q293" i="7" s="1"/>
  <c r="N334" i="5"/>
  <c r="O334" i="5" s="1"/>
  <c r="B292" i="7"/>
  <c r="C292" i="7"/>
  <c r="D292" i="7"/>
  <c r="E292" i="7"/>
  <c r="G292" i="7"/>
  <c r="H292" i="7"/>
  <c r="I292" i="7"/>
  <c r="K292" i="7"/>
  <c r="L292" i="7" s="1"/>
  <c r="P292" i="7"/>
  <c r="Q292" i="7" s="1"/>
  <c r="N333" i="5"/>
  <c r="O333" i="5" s="1"/>
  <c r="B291" i="7"/>
  <c r="C291" i="7"/>
  <c r="D291" i="7"/>
  <c r="E291" i="7"/>
  <c r="G291" i="7"/>
  <c r="H291" i="7"/>
  <c r="I291" i="7"/>
  <c r="K291" i="7"/>
  <c r="L291" i="7" s="1"/>
  <c r="P291" i="7"/>
  <c r="Q291" i="7" s="1"/>
  <c r="B290" i="7"/>
  <c r="C290" i="7"/>
  <c r="D290" i="7"/>
  <c r="E290" i="7"/>
  <c r="G290" i="7"/>
  <c r="H290" i="7"/>
  <c r="I290" i="7"/>
  <c r="K290" i="7"/>
  <c r="L290" i="7" s="1"/>
  <c r="P290" i="7"/>
  <c r="Q290" i="7" s="1"/>
  <c r="B289" i="7"/>
  <c r="C289" i="7"/>
  <c r="D289" i="7"/>
  <c r="E289" i="7"/>
  <c r="G289" i="7"/>
  <c r="H289" i="7"/>
  <c r="I289" i="7"/>
  <c r="K289" i="7"/>
  <c r="L289" i="7" s="1"/>
  <c r="P289" i="7"/>
  <c r="Q289" i="7" s="1"/>
  <c r="N330" i="5"/>
  <c r="O330" i="5" s="1"/>
  <c r="A292" i="7"/>
  <c r="A293" i="7"/>
  <c r="A289" i="7"/>
  <c r="A290" i="7"/>
  <c r="A291" i="7"/>
  <c r="N329" i="5"/>
  <c r="O329" i="5" s="1"/>
  <c r="U43" i="8"/>
  <c r="W43" i="8" s="1"/>
  <c r="V43" i="8"/>
  <c r="F43" i="8"/>
  <c r="A288" i="7"/>
  <c r="B288" i="7"/>
  <c r="C288" i="7"/>
  <c r="D288" i="7"/>
  <c r="E288" i="7"/>
  <c r="G288" i="7"/>
  <c r="H288" i="7"/>
  <c r="I288" i="7"/>
  <c r="K288" i="7"/>
  <c r="L288" i="7" s="1"/>
  <c r="P288" i="7"/>
  <c r="Q288" i="7" s="1"/>
  <c r="B287" i="7"/>
  <c r="C287" i="7"/>
  <c r="D287" i="7"/>
  <c r="E287" i="7"/>
  <c r="G287" i="7"/>
  <c r="H287" i="7"/>
  <c r="I287" i="7"/>
  <c r="K287" i="7"/>
  <c r="L287" i="7" s="1"/>
  <c r="P287" i="7"/>
  <c r="Q287" i="7" s="1"/>
  <c r="L328" i="5"/>
  <c r="N328" i="5"/>
  <c r="O328" i="5" s="1"/>
  <c r="B286" i="7"/>
  <c r="C286" i="7"/>
  <c r="D286" i="7"/>
  <c r="E286" i="7"/>
  <c r="G286" i="7"/>
  <c r="H286" i="7"/>
  <c r="I286" i="7"/>
  <c r="K286" i="7"/>
  <c r="L286" i="7" s="1"/>
  <c r="P286" i="7"/>
  <c r="Q286" i="7" s="1"/>
  <c r="N327" i="5"/>
  <c r="O327" i="5" s="1"/>
  <c r="B285" i="7"/>
  <c r="C285" i="7"/>
  <c r="D285" i="7"/>
  <c r="E285" i="7"/>
  <c r="G285" i="7"/>
  <c r="H285" i="7"/>
  <c r="I285" i="7"/>
  <c r="K285" i="7"/>
  <c r="L285" i="7" s="1"/>
  <c r="P285" i="7"/>
  <c r="Q285" i="7" s="1"/>
  <c r="N326" i="5"/>
  <c r="O326" i="5" s="1"/>
  <c r="B284" i="7"/>
  <c r="C284" i="7"/>
  <c r="D284" i="7"/>
  <c r="E284" i="7"/>
  <c r="G284" i="7"/>
  <c r="H284" i="7"/>
  <c r="I284" i="7"/>
  <c r="K284" i="7"/>
  <c r="L284" i="7" s="1"/>
  <c r="P284" i="7"/>
  <c r="Q284" i="7" s="1"/>
  <c r="N325" i="5"/>
  <c r="O325" i="5" s="1"/>
  <c r="B283" i="7"/>
  <c r="C283" i="7"/>
  <c r="D283" i="7"/>
  <c r="E283" i="7"/>
  <c r="G283" i="7"/>
  <c r="H283" i="7"/>
  <c r="I283" i="7"/>
  <c r="K283" i="7"/>
  <c r="L283" i="7" s="1"/>
  <c r="P283" i="7"/>
  <c r="Q283" i="7" s="1"/>
  <c r="N324" i="5"/>
  <c r="O324" i="5" s="1"/>
  <c r="A283" i="7"/>
  <c r="A284" i="7"/>
  <c r="A285" i="7"/>
  <c r="A286" i="7"/>
  <c r="A287" i="7"/>
  <c r="A282" i="7"/>
  <c r="B282" i="7"/>
  <c r="C282" i="7"/>
  <c r="D282" i="7"/>
  <c r="E282" i="7"/>
  <c r="G282" i="7"/>
  <c r="H282" i="7"/>
  <c r="I282" i="7"/>
  <c r="K282" i="7"/>
  <c r="L282" i="7" s="1"/>
  <c r="P282" i="7"/>
  <c r="Q282" i="7" s="1"/>
  <c r="A281" i="7"/>
  <c r="B281" i="7"/>
  <c r="C281" i="7"/>
  <c r="D281" i="7"/>
  <c r="E281" i="7"/>
  <c r="G281" i="7"/>
  <c r="H281" i="7"/>
  <c r="I281" i="7"/>
  <c r="K281" i="7"/>
  <c r="L281" i="7" s="1"/>
  <c r="P281" i="7"/>
  <c r="Q281" i="7" s="1"/>
  <c r="N323" i="5"/>
  <c r="O323" i="5" s="1"/>
  <c r="K280" i="7"/>
  <c r="L280" i="7" s="1"/>
  <c r="P280" i="7"/>
  <c r="Q280" i="7" s="1"/>
  <c r="V42" i="8"/>
  <c r="U42" i="8"/>
  <c r="L37" i="8"/>
  <c r="K37" i="8"/>
  <c r="F42" i="8"/>
  <c r="B280" i="7"/>
  <c r="C280" i="7"/>
  <c r="D280" i="7"/>
  <c r="E280" i="7"/>
  <c r="G280" i="7"/>
  <c r="H280" i="7"/>
  <c r="I280" i="7"/>
  <c r="N321" i="5"/>
  <c r="O321" i="5" s="1"/>
  <c r="L321" i="5"/>
  <c r="W42" i="8"/>
  <c r="X42" i="8"/>
  <c r="B279" i="7"/>
  <c r="C279" i="7"/>
  <c r="D279" i="7"/>
  <c r="E279" i="7"/>
  <c r="G279" i="7"/>
  <c r="H279" i="7"/>
  <c r="I279" i="7"/>
  <c r="K279" i="7"/>
  <c r="L279" i="7" s="1"/>
  <c r="P279" i="7"/>
  <c r="Q279" i="7" s="1"/>
  <c r="N320" i="5"/>
  <c r="O320" i="5" s="1"/>
  <c r="B278" i="7"/>
  <c r="C278" i="7"/>
  <c r="D278" i="7"/>
  <c r="E278" i="7"/>
  <c r="G278" i="7"/>
  <c r="H278" i="7"/>
  <c r="I278" i="7"/>
  <c r="K278" i="7"/>
  <c r="L278" i="7" s="1"/>
  <c r="P278" i="7"/>
  <c r="Q278" i="7" s="1"/>
  <c r="N319" i="5"/>
  <c r="O319" i="5" s="1"/>
  <c r="B277" i="7"/>
  <c r="C277" i="7"/>
  <c r="D277" i="7"/>
  <c r="E277" i="7"/>
  <c r="G277" i="7"/>
  <c r="H277" i="7"/>
  <c r="I277" i="7"/>
  <c r="K277" i="7"/>
  <c r="L277" i="7" s="1"/>
  <c r="P277" i="7"/>
  <c r="Q277" i="7" s="1"/>
  <c r="B276" i="7"/>
  <c r="C276" i="7"/>
  <c r="D276" i="7"/>
  <c r="E276" i="7"/>
  <c r="G276" i="7"/>
  <c r="H276" i="7"/>
  <c r="I276" i="7"/>
  <c r="K276" i="7"/>
  <c r="L276" i="7" s="1"/>
  <c r="P276" i="7"/>
  <c r="Q276" i="7" s="1"/>
  <c r="N317" i="5"/>
  <c r="O317" i="5" s="1"/>
  <c r="B275" i="7"/>
  <c r="C275" i="7"/>
  <c r="D275" i="7"/>
  <c r="E275" i="7"/>
  <c r="G275" i="7"/>
  <c r="H275" i="7"/>
  <c r="I275" i="7"/>
  <c r="K275" i="7"/>
  <c r="L275" i="7" s="1"/>
  <c r="P275" i="7"/>
  <c r="Q275" i="7" s="1"/>
  <c r="N316" i="5"/>
  <c r="O316" i="5" s="1"/>
  <c r="L316" i="5"/>
  <c r="A279" i="7"/>
  <c r="A280" i="7"/>
  <c r="A275" i="7"/>
  <c r="A276" i="7"/>
  <c r="A277" i="7"/>
  <c r="A278" i="7"/>
  <c r="A274" i="7"/>
  <c r="B274" i="7"/>
  <c r="C274" i="7"/>
  <c r="D274" i="7"/>
  <c r="E274" i="7"/>
  <c r="G274" i="7"/>
  <c r="H274" i="7"/>
  <c r="I274" i="7"/>
  <c r="K274" i="7"/>
  <c r="L274" i="7" s="1"/>
  <c r="P274" i="7"/>
  <c r="Q274" i="7" s="1"/>
  <c r="N315" i="5"/>
  <c r="O315" i="5" s="1"/>
  <c r="L315" i="5"/>
  <c r="V41" i="8"/>
  <c r="U41" i="8"/>
  <c r="W41" i="8" s="1"/>
  <c r="F41" i="8"/>
  <c r="P273" i="7"/>
  <c r="Q273" i="7" s="1"/>
  <c r="P272" i="7"/>
  <c r="Q272" i="7" s="1"/>
  <c r="P271" i="7"/>
  <c r="Q271" i="7" s="1"/>
  <c r="P270" i="7"/>
  <c r="Q270" i="7" s="1"/>
  <c r="P269" i="7"/>
  <c r="Q269" i="7" s="1"/>
  <c r="A273" i="7"/>
  <c r="B273" i="7"/>
  <c r="C273" i="7"/>
  <c r="D273" i="7"/>
  <c r="E273" i="7"/>
  <c r="G273" i="7"/>
  <c r="H273" i="7"/>
  <c r="I273" i="7"/>
  <c r="K273" i="7"/>
  <c r="L273" i="7" s="1"/>
  <c r="A269" i="7"/>
  <c r="B269" i="7"/>
  <c r="C269" i="7"/>
  <c r="D269" i="7"/>
  <c r="E269" i="7"/>
  <c r="G269" i="7"/>
  <c r="H269" i="7"/>
  <c r="I269" i="7"/>
  <c r="K269" i="7"/>
  <c r="L269" i="7" s="1"/>
  <c r="A270" i="7"/>
  <c r="B270" i="7"/>
  <c r="C270" i="7"/>
  <c r="D270" i="7"/>
  <c r="E270" i="7"/>
  <c r="G270" i="7"/>
  <c r="H270" i="7"/>
  <c r="I270" i="7"/>
  <c r="K270" i="7"/>
  <c r="L270" i="7" s="1"/>
  <c r="A271" i="7"/>
  <c r="B271" i="7"/>
  <c r="C271" i="7"/>
  <c r="D271" i="7"/>
  <c r="E271" i="7"/>
  <c r="G271" i="7"/>
  <c r="H271" i="7"/>
  <c r="I271" i="7"/>
  <c r="K271" i="7"/>
  <c r="L271" i="7" s="1"/>
  <c r="A272" i="7"/>
  <c r="B272" i="7"/>
  <c r="C272" i="7"/>
  <c r="D272" i="7"/>
  <c r="E272" i="7"/>
  <c r="G272" i="7"/>
  <c r="H272" i="7"/>
  <c r="I272" i="7"/>
  <c r="K272" i="7"/>
  <c r="L272" i="7" s="1"/>
  <c r="N314" i="5"/>
  <c r="O314" i="5" s="1"/>
  <c r="L314" i="5"/>
  <c r="V40" i="8"/>
  <c r="U40" i="8" s="1"/>
  <c r="F40" i="8"/>
  <c r="B268" i="7"/>
  <c r="C268" i="7"/>
  <c r="D268" i="7"/>
  <c r="E268" i="7"/>
  <c r="G268" i="7"/>
  <c r="H268" i="7"/>
  <c r="I268" i="7"/>
  <c r="K268" i="7"/>
  <c r="L268" i="7" s="1"/>
  <c r="P268" i="7"/>
  <c r="Q268" i="7" s="1"/>
  <c r="B267" i="7"/>
  <c r="C267" i="7"/>
  <c r="D267" i="7"/>
  <c r="E267" i="7"/>
  <c r="G267" i="7"/>
  <c r="H267" i="7"/>
  <c r="I267" i="7"/>
  <c r="K267" i="7"/>
  <c r="L267" i="7" s="1"/>
  <c r="P267" i="7"/>
  <c r="Q267" i="7" s="1"/>
  <c r="N308" i="5"/>
  <c r="O308" i="5" s="1"/>
  <c r="B266" i="7"/>
  <c r="C266" i="7"/>
  <c r="D266" i="7"/>
  <c r="E266" i="7"/>
  <c r="G266" i="7"/>
  <c r="H266" i="7"/>
  <c r="I266" i="7"/>
  <c r="K266" i="7"/>
  <c r="L266" i="7" s="1"/>
  <c r="U266" i="7" s="1"/>
  <c r="P266" i="7"/>
  <c r="Q266" i="7" s="1"/>
  <c r="A266" i="7"/>
  <c r="A267" i="7"/>
  <c r="A268" i="7"/>
  <c r="A265" i="7"/>
  <c r="B265" i="7"/>
  <c r="C265" i="7"/>
  <c r="D265" i="7"/>
  <c r="E265" i="7"/>
  <c r="G265" i="7"/>
  <c r="H265" i="7"/>
  <c r="I265" i="7"/>
  <c r="K265" i="7"/>
  <c r="L265" i="7" s="1"/>
  <c r="P265" i="7"/>
  <c r="Q265" i="7" s="1"/>
  <c r="V39" i="8"/>
  <c r="U39" i="8"/>
  <c r="X39" i="8" s="1"/>
  <c r="F39" i="8"/>
  <c r="A264" i="7"/>
  <c r="B264" i="7"/>
  <c r="C264" i="7"/>
  <c r="D264" i="7"/>
  <c r="E264" i="7"/>
  <c r="G264" i="7"/>
  <c r="R264" i="7" s="1"/>
  <c r="T264" i="7" s="1"/>
  <c r="H264" i="7"/>
  <c r="I264" i="7"/>
  <c r="K264" i="7"/>
  <c r="L264" i="7" s="1"/>
  <c r="P264" i="7"/>
  <c r="P262" i="7"/>
  <c r="Q262" i="7" s="1"/>
  <c r="P263" i="7"/>
  <c r="Q263" i="7" s="1"/>
  <c r="L305" i="5"/>
  <c r="N305" i="5"/>
  <c r="O305" i="5" s="1"/>
  <c r="W39" i="8"/>
  <c r="P261" i="7"/>
  <c r="Q261" i="7" s="1"/>
  <c r="N302" i="5"/>
  <c r="O302" i="5" s="1"/>
  <c r="P260" i="7"/>
  <c r="Q260" i="7" s="1"/>
  <c r="P259" i="7"/>
  <c r="Q259" i="7" s="1"/>
  <c r="N300" i="5"/>
  <c r="O300" i="5" s="1"/>
  <c r="L298" i="5"/>
  <c r="P258" i="7"/>
  <c r="Q258" i="7" s="1"/>
  <c r="P257" i="7"/>
  <c r="Q257" i="7" s="1"/>
  <c r="A257" i="7"/>
  <c r="B257" i="7"/>
  <c r="C257" i="7"/>
  <c r="D257" i="7"/>
  <c r="E257" i="7"/>
  <c r="G257" i="7"/>
  <c r="H257" i="7"/>
  <c r="I257" i="7"/>
  <c r="K257" i="7"/>
  <c r="L257" i="7" s="1"/>
  <c r="A258" i="7"/>
  <c r="B258" i="7"/>
  <c r="C258" i="7"/>
  <c r="D258" i="7"/>
  <c r="E258" i="7"/>
  <c r="G258" i="7"/>
  <c r="H258" i="7"/>
  <c r="I258" i="7"/>
  <c r="K258" i="7"/>
  <c r="L258" i="7" s="1"/>
  <c r="A259" i="7"/>
  <c r="B259" i="7"/>
  <c r="C259" i="7"/>
  <c r="D259" i="7"/>
  <c r="E259" i="7"/>
  <c r="G259" i="7"/>
  <c r="H259" i="7"/>
  <c r="I259" i="7"/>
  <c r="K259" i="7"/>
  <c r="L259" i="7" s="1"/>
  <c r="A260" i="7"/>
  <c r="B260" i="7"/>
  <c r="C260" i="7"/>
  <c r="D260" i="7"/>
  <c r="E260" i="7"/>
  <c r="G260" i="7"/>
  <c r="H260" i="7"/>
  <c r="I260" i="7"/>
  <c r="K260" i="7"/>
  <c r="L260" i="7" s="1"/>
  <c r="A261" i="7"/>
  <c r="B261" i="7"/>
  <c r="C261" i="7"/>
  <c r="D261" i="7"/>
  <c r="E261" i="7"/>
  <c r="G261" i="7"/>
  <c r="H261" i="7"/>
  <c r="I261" i="7"/>
  <c r="K261" i="7"/>
  <c r="L261" i="7" s="1"/>
  <c r="U261" i="7" s="1"/>
  <c r="A262" i="7"/>
  <c r="B262" i="7"/>
  <c r="C262" i="7"/>
  <c r="D262" i="7"/>
  <c r="E262" i="7"/>
  <c r="G262" i="7"/>
  <c r="H262" i="7"/>
  <c r="I262" i="7"/>
  <c r="K262" i="7"/>
  <c r="L262" i="7" s="1"/>
  <c r="U262" i="7" s="1"/>
  <c r="A263" i="7"/>
  <c r="B263" i="7"/>
  <c r="C263" i="7"/>
  <c r="D263" i="7"/>
  <c r="E263" i="7"/>
  <c r="G263" i="7"/>
  <c r="H263" i="7"/>
  <c r="I263" i="7"/>
  <c r="K263" i="7"/>
  <c r="L263" i="7" s="1"/>
  <c r="U263" i="7" s="1"/>
  <c r="N298" i="5"/>
  <c r="O298" i="5" s="1"/>
  <c r="L297" i="5"/>
  <c r="P256" i="7"/>
  <c r="Q256" i="7" s="1"/>
  <c r="A256" i="7"/>
  <c r="B256" i="7"/>
  <c r="C256" i="7"/>
  <c r="D256" i="7"/>
  <c r="E256" i="7"/>
  <c r="G256" i="7"/>
  <c r="H256" i="7"/>
  <c r="I256" i="7"/>
  <c r="K256" i="7"/>
  <c r="L256" i="7" s="1"/>
  <c r="N297" i="5"/>
  <c r="O297" i="5" s="1"/>
  <c r="D38" i="8"/>
  <c r="V38" i="8"/>
  <c r="U38" i="8"/>
  <c r="X38" i="8" s="1"/>
  <c r="F38" i="8"/>
  <c r="A255" i="7"/>
  <c r="B255" i="7"/>
  <c r="C255" i="7"/>
  <c r="D255" i="7"/>
  <c r="E255" i="7"/>
  <c r="G255" i="7"/>
  <c r="H255" i="7"/>
  <c r="I255" i="7"/>
  <c r="K255" i="7"/>
  <c r="L255" i="7" s="1"/>
  <c r="P255" i="7"/>
  <c r="Q255" i="7" s="1"/>
  <c r="N296" i="5"/>
  <c r="O296" i="5" s="1"/>
  <c r="W38" i="8"/>
  <c r="P254" i="7"/>
  <c r="Q254" i="7" s="1"/>
  <c r="A254" i="7"/>
  <c r="B254" i="7"/>
  <c r="C254" i="7"/>
  <c r="D254" i="7"/>
  <c r="E254" i="7"/>
  <c r="G254" i="7"/>
  <c r="H254" i="7"/>
  <c r="I254" i="7"/>
  <c r="K254" i="7"/>
  <c r="L254" i="7" s="1"/>
  <c r="U254" i="7" s="1"/>
  <c r="N295" i="5"/>
  <c r="O295" i="5" s="1"/>
  <c r="P253" i="7"/>
  <c r="Q253" i="7" s="1"/>
  <c r="A253" i="7"/>
  <c r="B253" i="7"/>
  <c r="C253" i="7"/>
  <c r="D253" i="7"/>
  <c r="E253" i="7"/>
  <c r="G253" i="7"/>
  <c r="H253" i="7"/>
  <c r="I253" i="7"/>
  <c r="K253" i="7"/>
  <c r="L253" i="7" s="1"/>
  <c r="N294" i="5"/>
  <c r="O294" i="5" s="1"/>
  <c r="P252" i="7"/>
  <c r="Q252" i="7" s="1"/>
  <c r="A252" i="7"/>
  <c r="B252" i="7"/>
  <c r="C252" i="7"/>
  <c r="D252" i="7"/>
  <c r="E252" i="7"/>
  <c r="G252" i="7"/>
  <c r="H252" i="7"/>
  <c r="I252" i="7"/>
  <c r="K252" i="7"/>
  <c r="L252" i="7" s="1"/>
  <c r="U252" i="7" s="1"/>
  <c r="N293" i="5"/>
  <c r="O293" i="5" s="1"/>
  <c r="P251" i="7"/>
  <c r="Q251" i="7" s="1"/>
  <c r="A251" i="7"/>
  <c r="B251" i="7"/>
  <c r="C251" i="7"/>
  <c r="D251" i="7"/>
  <c r="E251" i="7"/>
  <c r="G251" i="7"/>
  <c r="H251" i="7"/>
  <c r="I251" i="7"/>
  <c r="K251" i="7"/>
  <c r="L251" i="7" s="1"/>
  <c r="N292" i="5"/>
  <c r="O292" i="5" s="1"/>
  <c r="P250" i="7"/>
  <c r="Q250" i="7" s="1"/>
  <c r="K250" i="7"/>
  <c r="L250" i="7" s="1"/>
  <c r="A250" i="7"/>
  <c r="B250" i="7"/>
  <c r="C250" i="7"/>
  <c r="D250" i="7"/>
  <c r="E250" i="7"/>
  <c r="G250" i="7"/>
  <c r="H250" i="7"/>
  <c r="I250" i="7"/>
  <c r="N291" i="5"/>
  <c r="O291" i="5" s="1"/>
  <c r="F14" i="8"/>
  <c r="F16" i="8"/>
  <c r="F19" i="8"/>
  <c r="F21" i="8"/>
  <c r="F25" i="8"/>
  <c r="F28" i="8"/>
  <c r="F29" i="8"/>
  <c r="F30" i="8"/>
  <c r="F31" i="8"/>
  <c r="F32" i="8"/>
  <c r="F35" i="8"/>
  <c r="F37" i="8"/>
  <c r="V37" i="8"/>
  <c r="X37" i="8"/>
  <c r="L290" i="5"/>
  <c r="N290" i="5"/>
  <c r="O290" i="5" s="1"/>
  <c r="N289" i="5"/>
  <c r="O289" i="5" s="1"/>
  <c r="K242" i="7"/>
  <c r="L242" i="7" s="1"/>
  <c r="K243" i="7"/>
  <c r="L243" i="7" s="1"/>
  <c r="K244" i="7"/>
  <c r="L244" i="7" s="1"/>
  <c r="U244" i="7" s="1"/>
  <c r="K245" i="7"/>
  <c r="L245" i="7" s="1"/>
  <c r="K247" i="7"/>
  <c r="L247" i="7" s="1"/>
  <c r="K248" i="7"/>
  <c r="L248" i="7" s="1"/>
  <c r="K249" i="7"/>
  <c r="L249" i="7" s="1"/>
  <c r="U249" i="7" s="1"/>
  <c r="K246" i="7"/>
  <c r="L246" i="7" s="1"/>
  <c r="N287" i="5"/>
  <c r="O287" i="5" s="1"/>
  <c r="G243" i="7"/>
  <c r="H243" i="7"/>
  <c r="I243" i="7"/>
  <c r="G244" i="7"/>
  <c r="H244" i="7"/>
  <c r="I244" i="7"/>
  <c r="G245" i="7"/>
  <c r="H245" i="7"/>
  <c r="I245" i="7"/>
  <c r="G246" i="7"/>
  <c r="H246" i="7"/>
  <c r="I246" i="7"/>
  <c r="G247" i="7"/>
  <c r="H247" i="7"/>
  <c r="I247" i="7"/>
  <c r="G248" i="7"/>
  <c r="H248" i="7"/>
  <c r="I248" i="7"/>
  <c r="G249" i="7"/>
  <c r="H249" i="7"/>
  <c r="I249" i="7"/>
  <c r="P249" i="7"/>
  <c r="Q249" i="7" s="1"/>
  <c r="P248" i="7"/>
  <c r="Q248" i="7" s="1"/>
  <c r="P247" i="7"/>
  <c r="Q247" i="7" s="1"/>
  <c r="P246" i="7"/>
  <c r="Q246" i="7" s="1"/>
  <c r="P245" i="7"/>
  <c r="Q245" i="7" s="1"/>
  <c r="P244" i="7"/>
  <c r="Q244" i="7" s="1"/>
  <c r="P243" i="7"/>
  <c r="Q243" i="7" s="1"/>
  <c r="P242" i="7"/>
  <c r="Q242" i="7" s="1"/>
  <c r="B242" i="7"/>
  <c r="C242" i="7"/>
  <c r="D242" i="7"/>
  <c r="E242" i="7"/>
  <c r="G242" i="7"/>
  <c r="H242" i="7"/>
  <c r="I242" i="7"/>
  <c r="B243" i="7"/>
  <c r="C243" i="7"/>
  <c r="D243" i="7"/>
  <c r="E243" i="7"/>
  <c r="B244" i="7"/>
  <c r="C244" i="7"/>
  <c r="D244" i="7"/>
  <c r="E244" i="7"/>
  <c r="B245" i="7"/>
  <c r="C245" i="7"/>
  <c r="D245" i="7"/>
  <c r="E245" i="7"/>
  <c r="B246" i="7"/>
  <c r="C246" i="7"/>
  <c r="D246" i="7"/>
  <c r="E246" i="7"/>
  <c r="B247" i="7"/>
  <c r="C247" i="7"/>
  <c r="D247" i="7"/>
  <c r="E247" i="7"/>
  <c r="B248" i="7"/>
  <c r="C248" i="7"/>
  <c r="D248" i="7"/>
  <c r="E248" i="7"/>
  <c r="B249" i="7"/>
  <c r="C249" i="7"/>
  <c r="D249" i="7"/>
  <c r="E249" i="7"/>
  <c r="A249" i="7"/>
  <c r="A242" i="7"/>
  <c r="A243" i="7"/>
  <c r="A244" i="7"/>
  <c r="A245" i="7"/>
  <c r="A246" i="7"/>
  <c r="A247" i="7"/>
  <c r="A248" i="7"/>
  <c r="K235" i="7"/>
  <c r="L235" i="7" s="1"/>
  <c r="K236" i="7"/>
  <c r="L236" i="7" s="1"/>
  <c r="U236" i="7" s="1"/>
  <c r="K237" i="7"/>
  <c r="L237" i="7" s="1"/>
  <c r="K238" i="7"/>
  <c r="L238" i="7" s="1"/>
  <c r="K239" i="7"/>
  <c r="L239" i="7" s="1"/>
  <c r="U239" i="7" s="1"/>
  <c r="K240" i="7"/>
  <c r="L240" i="7" s="1"/>
  <c r="D240" i="7"/>
  <c r="N280" i="5"/>
  <c r="O280" i="5" s="1"/>
  <c r="D36" i="8"/>
  <c r="F36" i="8"/>
  <c r="V36" i="8"/>
  <c r="U36" i="8" s="1"/>
  <c r="P241" i="7"/>
  <c r="Q241" i="7" s="1"/>
  <c r="P240" i="7"/>
  <c r="Q240" i="7" s="1"/>
  <c r="P239" i="7"/>
  <c r="Q239" i="7" s="1"/>
  <c r="P238" i="7"/>
  <c r="Q238" i="7" s="1"/>
  <c r="P237" i="7"/>
  <c r="Q237" i="7" s="1"/>
  <c r="P236" i="7"/>
  <c r="Q236" i="7" s="1"/>
  <c r="P235" i="7"/>
  <c r="Q235" i="7" s="1"/>
  <c r="P234" i="7"/>
  <c r="Q234" i="7" s="1"/>
  <c r="P233" i="7"/>
  <c r="Q233" i="7" s="1"/>
  <c r="P232" i="7"/>
  <c r="Q232" i="7" s="1"/>
  <c r="K232" i="7"/>
  <c r="L232" i="7" s="1"/>
  <c r="U232" i="7" s="1"/>
  <c r="K233" i="7"/>
  <c r="L233" i="7" s="1"/>
  <c r="K234" i="7"/>
  <c r="L234" i="7" s="1"/>
  <c r="K241" i="7"/>
  <c r="L241" i="7" s="1"/>
  <c r="I241" i="7"/>
  <c r="H241" i="7"/>
  <c r="G241" i="7"/>
  <c r="G232" i="7"/>
  <c r="H232" i="7"/>
  <c r="I232" i="7"/>
  <c r="G233" i="7"/>
  <c r="H233" i="7"/>
  <c r="I233" i="7"/>
  <c r="G234" i="7"/>
  <c r="H234" i="7"/>
  <c r="I234" i="7"/>
  <c r="G235" i="7"/>
  <c r="H235" i="7"/>
  <c r="I235" i="7"/>
  <c r="G236" i="7"/>
  <c r="H236" i="7"/>
  <c r="I236" i="7"/>
  <c r="G237" i="7"/>
  <c r="H237" i="7"/>
  <c r="I237" i="7"/>
  <c r="G238" i="7"/>
  <c r="H238" i="7"/>
  <c r="I238" i="7"/>
  <c r="G239" i="7"/>
  <c r="H239" i="7"/>
  <c r="I239" i="7"/>
  <c r="G240" i="7"/>
  <c r="H240" i="7"/>
  <c r="I240" i="7"/>
  <c r="E241" i="7"/>
  <c r="D241" i="7"/>
  <c r="B241" i="7"/>
  <c r="C241" i="7"/>
  <c r="A241" i="7"/>
  <c r="A232" i="7"/>
  <c r="B232" i="7"/>
  <c r="C232" i="7"/>
  <c r="D232" i="7"/>
  <c r="E232" i="7"/>
  <c r="A233" i="7"/>
  <c r="B233" i="7"/>
  <c r="C233" i="7"/>
  <c r="D233" i="7"/>
  <c r="E233" i="7"/>
  <c r="A234" i="7"/>
  <c r="B234" i="7"/>
  <c r="C234" i="7"/>
  <c r="D234" i="7"/>
  <c r="E234" i="7"/>
  <c r="A235" i="7"/>
  <c r="B235" i="7"/>
  <c r="C235" i="7"/>
  <c r="D235" i="7"/>
  <c r="E235" i="7"/>
  <c r="A236" i="7"/>
  <c r="B236" i="7"/>
  <c r="C236" i="7"/>
  <c r="D236" i="7"/>
  <c r="E236" i="7"/>
  <c r="A237" i="7"/>
  <c r="B237" i="7"/>
  <c r="C237" i="7"/>
  <c r="D237" i="7"/>
  <c r="E237" i="7"/>
  <c r="A238" i="7"/>
  <c r="B238" i="7"/>
  <c r="C238" i="7"/>
  <c r="D238" i="7"/>
  <c r="E238" i="7"/>
  <c r="A239" i="7"/>
  <c r="B239" i="7"/>
  <c r="C239" i="7"/>
  <c r="D239" i="7"/>
  <c r="E239" i="7"/>
  <c r="A240" i="7"/>
  <c r="B240" i="7"/>
  <c r="C240" i="7"/>
  <c r="E240" i="7"/>
  <c r="N274" i="5"/>
  <c r="O274" i="5" s="1"/>
  <c r="L274" i="5"/>
  <c r="V35" i="8"/>
  <c r="U35" i="8" s="1"/>
  <c r="P231" i="7"/>
  <c r="Q231" i="7" s="1"/>
  <c r="P230" i="7"/>
  <c r="Q230" i="7" s="1"/>
  <c r="P229" i="7"/>
  <c r="Q229" i="7" s="1"/>
  <c r="P228" i="7"/>
  <c r="Q228" i="7" s="1"/>
  <c r="P227" i="7"/>
  <c r="Q227" i="7" s="1"/>
  <c r="P226" i="7"/>
  <c r="Q226" i="7" s="1"/>
  <c r="P225" i="7"/>
  <c r="Q225" i="7" s="1"/>
  <c r="P224" i="7"/>
  <c r="Q224" i="7" s="1"/>
  <c r="K224" i="7"/>
  <c r="L224" i="7" s="1"/>
  <c r="K225" i="7"/>
  <c r="L225" i="7" s="1"/>
  <c r="K226" i="7"/>
  <c r="L226" i="7" s="1"/>
  <c r="K227" i="7"/>
  <c r="L227" i="7" s="1"/>
  <c r="U227" i="7" s="1"/>
  <c r="K228" i="7"/>
  <c r="L228" i="7" s="1"/>
  <c r="K229" i="7"/>
  <c r="L229" i="7" s="1"/>
  <c r="U229" i="7" s="1"/>
  <c r="K230" i="7"/>
  <c r="L230" i="7" s="1"/>
  <c r="K231" i="7"/>
  <c r="L231" i="7" s="1"/>
  <c r="U231" i="7" s="1"/>
  <c r="D227" i="7"/>
  <c r="D228" i="7"/>
  <c r="D229" i="7"/>
  <c r="D230" i="7"/>
  <c r="D231" i="7"/>
  <c r="A224" i="7"/>
  <c r="B224" i="7"/>
  <c r="C224" i="7"/>
  <c r="D224" i="7"/>
  <c r="E224" i="7"/>
  <c r="G224" i="7"/>
  <c r="H224" i="7"/>
  <c r="I224" i="7"/>
  <c r="A225" i="7"/>
  <c r="B225" i="7"/>
  <c r="C225" i="7"/>
  <c r="D225" i="7"/>
  <c r="E225" i="7"/>
  <c r="G225" i="7"/>
  <c r="H225" i="7"/>
  <c r="I225" i="7"/>
  <c r="A226" i="7"/>
  <c r="B226" i="7"/>
  <c r="C226" i="7"/>
  <c r="D226" i="7"/>
  <c r="E226" i="7"/>
  <c r="G226" i="7"/>
  <c r="H226" i="7"/>
  <c r="I226" i="7"/>
  <c r="A227" i="7"/>
  <c r="B227" i="7"/>
  <c r="C227" i="7"/>
  <c r="E227" i="7"/>
  <c r="G227" i="7"/>
  <c r="H227" i="7"/>
  <c r="I227" i="7"/>
  <c r="A228" i="7"/>
  <c r="B228" i="7"/>
  <c r="C228" i="7"/>
  <c r="E228" i="7"/>
  <c r="G228" i="7"/>
  <c r="H228" i="7"/>
  <c r="I228" i="7"/>
  <c r="A229" i="7"/>
  <c r="B229" i="7"/>
  <c r="C229" i="7"/>
  <c r="E229" i="7"/>
  <c r="G229" i="7"/>
  <c r="H229" i="7"/>
  <c r="I229" i="7"/>
  <c r="A230" i="7"/>
  <c r="B230" i="7"/>
  <c r="C230" i="7"/>
  <c r="E230" i="7"/>
  <c r="G230" i="7"/>
  <c r="H230" i="7"/>
  <c r="I230" i="7"/>
  <c r="A231" i="7"/>
  <c r="B231" i="7"/>
  <c r="C231" i="7"/>
  <c r="E231" i="7"/>
  <c r="G231" i="7"/>
  <c r="H231" i="7"/>
  <c r="I231" i="7"/>
  <c r="N272" i="5"/>
  <c r="O272" i="5" s="1"/>
  <c r="L266" i="5"/>
  <c r="N266" i="5"/>
  <c r="O266" i="5" s="1"/>
  <c r="W14" i="8"/>
  <c r="X14" i="8"/>
  <c r="W25" i="8"/>
  <c r="X25" i="8"/>
  <c r="V3" i="8"/>
  <c r="U3" i="8"/>
  <c r="X3" i="8" s="1"/>
  <c r="V4" i="8"/>
  <c r="U4" i="8"/>
  <c r="W4" i="8" s="1"/>
  <c r="X4" i="8"/>
  <c r="V5" i="8"/>
  <c r="V6" i="8"/>
  <c r="V7" i="8"/>
  <c r="V8" i="8"/>
  <c r="U8" i="8" s="1"/>
  <c r="V9" i="8"/>
  <c r="V10" i="8"/>
  <c r="V11" i="8"/>
  <c r="V12" i="8"/>
  <c r="U12" i="8" s="1"/>
  <c r="V13" i="8"/>
  <c r="V14" i="8"/>
  <c r="V15" i="8"/>
  <c r="V16" i="8"/>
  <c r="U16" i="8" s="1"/>
  <c r="V17" i="8"/>
  <c r="U17" i="8"/>
  <c r="V18" i="8"/>
  <c r="U18" i="8" s="1"/>
  <c r="V19" i="8"/>
  <c r="U19" i="8"/>
  <c r="V20" i="8"/>
  <c r="U20" i="8" s="1"/>
  <c r="V21" i="8"/>
  <c r="U21" i="8" s="1"/>
  <c r="V22" i="8"/>
  <c r="U22" i="8"/>
  <c r="V23" i="8"/>
  <c r="U23" i="8" s="1"/>
  <c r="V25" i="8"/>
  <c r="V26" i="8"/>
  <c r="Z33" i="8" s="1"/>
  <c r="V27" i="8"/>
  <c r="U27" i="8" s="1"/>
  <c r="V28" i="8"/>
  <c r="U28" i="8"/>
  <c r="X28" i="8" s="1"/>
  <c r="V29" i="8"/>
  <c r="U29" i="8" s="1"/>
  <c r="V30" i="8"/>
  <c r="U30" i="8"/>
  <c r="X30" i="8" s="1"/>
  <c r="V31" i="8"/>
  <c r="U31" i="8" s="1"/>
  <c r="V32" i="8"/>
  <c r="U32" i="8"/>
  <c r="W32" i="8" s="1"/>
  <c r="V33" i="8"/>
  <c r="U33" i="8" s="1"/>
  <c r="V34" i="8"/>
  <c r="U34" i="8"/>
  <c r="X34" i="8" s="1"/>
  <c r="V2" i="8"/>
  <c r="D34" i="8"/>
  <c r="F34" i="8"/>
  <c r="P223" i="7"/>
  <c r="Q223" i="7" s="1"/>
  <c r="P222" i="7"/>
  <c r="Q222" i="7" s="1"/>
  <c r="P221" i="7"/>
  <c r="Q221" i="7" s="1"/>
  <c r="P220" i="7"/>
  <c r="Q220" i="7" s="1"/>
  <c r="P219" i="7"/>
  <c r="Q219" i="7" s="1"/>
  <c r="P218" i="7"/>
  <c r="Q218" i="7" s="1"/>
  <c r="F219" i="7"/>
  <c r="F220" i="7"/>
  <c r="F221" i="7"/>
  <c r="F222" i="7"/>
  <c r="B218" i="7"/>
  <c r="C218" i="7"/>
  <c r="D218" i="7"/>
  <c r="E218" i="7"/>
  <c r="G218" i="7"/>
  <c r="H218" i="7"/>
  <c r="I218" i="7"/>
  <c r="K218" i="7"/>
  <c r="L218" i="7" s="1"/>
  <c r="B219" i="7"/>
  <c r="C219" i="7"/>
  <c r="D219" i="7"/>
  <c r="E219" i="7"/>
  <c r="G219" i="7"/>
  <c r="H219" i="7"/>
  <c r="I219" i="7"/>
  <c r="K219" i="7"/>
  <c r="L219" i="7" s="1"/>
  <c r="B220" i="7"/>
  <c r="C220" i="7"/>
  <c r="D220" i="7"/>
  <c r="E220" i="7"/>
  <c r="G220" i="7"/>
  <c r="H220" i="7"/>
  <c r="I220" i="7"/>
  <c r="K220" i="7"/>
  <c r="L220" i="7" s="1"/>
  <c r="B221" i="7"/>
  <c r="C221" i="7"/>
  <c r="D221" i="7"/>
  <c r="E221" i="7"/>
  <c r="G221" i="7"/>
  <c r="H221" i="7"/>
  <c r="I221" i="7"/>
  <c r="K221" i="7"/>
  <c r="L221" i="7" s="1"/>
  <c r="B222" i="7"/>
  <c r="C222" i="7"/>
  <c r="D222" i="7"/>
  <c r="E222" i="7"/>
  <c r="G222" i="7"/>
  <c r="H222" i="7"/>
  <c r="I222" i="7"/>
  <c r="K222" i="7"/>
  <c r="L222" i="7" s="1"/>
  <c r="B223" i="7"/>
  <c r="C223" i="7"/>
  <c r="D223" i="7"/>
  <c r="E223" i="7"/>
  <c r="G223" i="7"/>
  <c r="H223" i="7"/>
  <c r="I223" i="7"/>
  <c r="K223" i="7"/>
  <c r="L223" i="7" s="1"/>
  <c r="A223" i="7"/>
  <c r="A218" i="7"/>
  <c r="A219" i="7"/>
  <c r="A220" i="7"/>
  <c r="A221" i="7"/>
  <c r="A222" i="7"/>
  <c r="N265" i="5"/>
  <c r="O265" i="5" s="1"/>
  <c r="N263" i="5"/>
  <c r="O263" i="5" s="1"/>
  <c r="N262" i="5"/>
  <c r="O262" i="5" s="1"/>
  <c r="N261" i="5"/>
  <c r="O261" i="5" s="1"/>
  <c r="N260" i="5"/>
  <c r="O260" i="5" s="1"/>
  <c r="L260" i="5"/>
  <c r="N259" i="5"/>
  <c r="O259" i="5" s="1"/>
  <c r="L259" i="5"/>
  <c r="N258" i="5"/>
  <c r="O258" i="5" s="1"/>
  <c r="D33" i="8"/>
  <c r="F33" i="8" s="1"/>
  <c r="D217" i="7"/>
  <c r="E217" i="7"/>
  <c r="G217" i="7"/>
  <c r="H217" i="7"/>
  <c r="I217" i="7"/>
  <c r="K217" i="7"/>
  <c r="L217" i="7" s="1"/>
  <c r="N257" i="5"/>
  <c r="O257" i="5" s="1"/>
  <c r="L254" i="5"/>
  <c r="P217" i="7"/>
  <c r="Q217" i="7" s="1"/>
  <c r="G204" i="7"/>
  <c r="H204" i="7"/>
  <c r="I204" i="7"/>
  <c r="K204" i="7"/>
  <c r="L204" i="7" s="1"/>
  <c r="P204" i="7"/>
  <c r="Q204" i="7" s="1"/>
  <c r="G205" i="7"/>
  <c r="H205" i="7"/>
  <c r="I205" i="7"/>
  <c r="K205" i="7"/>
  <c r="L205" i="7" s="1"/>
  <c r="P205" i="7"/>
  <c r="Q205" i="7" s="1"/>
  <c r="G206" i="7"/>
  <c r="H206" i="7"/>
  <c r="I206" i="7"/>
  <c r="K206" i="7"/>
  <c r="L206" i="7" s="1"/>
  <c r="P206" i="7"/>
  <c r="Q206" i="7" s="1"/>
  <c r="G207" i="7"/>
  <c r="H207" i="7"/>
  <c r="I207" i="7"/>
  <c r="K207" i="7"/>
  <c r="L207" i="7" s="1"/>
  <c r="P207" i="7"/>
  <c r="Q207" i="7" s="1"/>
  <c r="G208" i="7"/>
  <c r="H208" i="7"/>
  <c r="I208" i="7"/>
  <c r="K208" i="7"/>
  <c r="L208" i="7" s="1"/>
  <c r="P208" i="7"/>
  <c r="Q208" i="7" s="1"/>
  <c r="G209" i="7"/>
  <c r="H209" i="7"/>
  <c r="I209" i="7"/>
  <c r="K209" i="7"/>
  <c r="L209" i="7" s="1"/>
  <c r="U209" i="7" s="1"/>
  <c r="P209" i="7"/>
  <c r="Q209" i="7" s="1"/>
  <c r="G210" i="7"/>
  <c r="H210" i="7"/>
  <c r="I210" i="7"/>
  <c r="K210" i="7"/>
  <c r="L210" i="7" s="1"/>
  <c r="P210" i="7"/>
  <c r="Q210" i="7" s="1"/>
  <c r="G211" i="7"/>
  <c r="H211" i="7"/>
  <c r="I211" i="7"/>
  <c r="K211" i="7"/>
  <c r="L211" i="7" s="1"/>
  <c r="P211" i="7"/>
  <c r="Q211" i="7" s="1"/>
  <c r="G212" i="7"/>
  <c r="H212" i="7"/>
  <c r="I212" i="7"/>
  <c r="K212" i="7"/>
  <c r="L212" i="7" s="1"/>
  <c r="P212" i="7"/>
  <c r="Q212" i="7" s="1"/>
  <c r="G213" i="7"/>
  <c r="H213" i="7"/>
  <c r="I213" i="7"/>
  <c r="K213" i="7"/>
  <c r="L213" i="7" s="1"/>
  <c r="P213" i="7"/>
  <c r="Q213" i="7" s="1"/>
  <c r="G214" i="7"/>
  <c r="H214" i="7"/>
  <c r="I214" i="7"/>
  <c r="K214" i="7"/>
  <c r="L214" i="7" s="1"/>
  <c r="P214" i="7"/>
  <c r="Q214" i="7" s="1"/>
  <c r="G215" i="7"/>
  <c r="H215" i="7"/>
  <c r="I215" i="7"/>
  <c r="K215" i="7"/>
  <c r="L215" i="7" s="1"/>
  <c r="P215" i="7"/>
  <c r="Q215" i="7" s="1"/>
  <c r="G216" i="7"/>
  <c r="H216" i="7"/>
  <c r="I216" i="7"/>
  <c r="K216" i="7"/>
  <c r="L216" i="7" s="1"/>
  <c r="P216" i="7"/>
  <c r="Q216" i="7" s="1"/>
  <c r="B204" i="7"/>
  <c r="C204" i="7"/>
  <c r="D204" i="7"/>
  <c r="E204" i="7"/>
  <c r="B205" i="7"/>
  <c r="C205" i="7"/>
  <c r="D205" i="7"/>
  <c r="E205" i="7"/>
  <c r="F205" i="7"/>
  <c r="B206" i="7"/>
  <c r="C206" i="7"/>
  <c r="D206" i="7"/>
  <c r="E206" i="7"/>
  <c r="F206" i="7"/>
  <c r="B207" i="7"/>
  <c r="C207" i="7"/>
  <c r="D207" i="7"/>
  <c r="E207" i="7"/>
  <c r="B208" i="7"/>
  <c r="C208" i="7"/>
  <c r="D208" i="7"/>
  <c r="E208" i="7"/>
  <c r="B209" i="7"/>
  <c r="C209" i="7"/>
  <c r="D209" i="7"/>
  <c r="E209" i="7"/>
  <c r="F209" i="7"/>
  <c r="B210" i="7"/>
  <c r="C210" i="7"/>
  <c r="D210" i="7"/>
  <c r="E210" i="7"/>
  <c r="B211" i="7"/>
  <c r="C211" i="7"/>
  <c r="D211" i="7"/>
  <c r="E211" i="7"/>
  <c r="B212" i="7"/>
  <c r="C212" i="7"/>
  <c r="D212" i="7"/>
  <c r="E212" i="7"/>
  <c r="B213" i="7"/>
  <c r="C213" i="7"/>
  <c r="D213" i="7"/>
  <c r="E213" i="7"/>
  <c r="F213" i="7"/>
  <c r="B214" i="7"/>
  <c r="C214" i="7"/>
  <c r="D214" i="7"/>
  <c r="E214" i="7"/>
  <c r="F214" i="7"/>
  <c r="B215" i="7"/>
  <c r="C215" i="7"/>
  <c r="D215" i="7"/>
  <c r="E215" i="7"/>
  <c r="F215" i="7"/>
  <c r="B216" i="7"/>
  <c r="C216" i="7"/>
  <c r="D216" i="7"/>
  <c r="E216" i="7"/>
  <c r="B217" i="7"/>
  <c r="C217" i="7"/>
  <c r="A204" i="7"/>
  <c r="A205" i="7"/>
  <c r="A206" i="7"/>
  <c r="A207" i="7"/>
  <c r="A208" i="7"/>
  <c r="A209" i="7"/>
  <c r="A210" i="7"/>
  <c r="A211" i="7"/>
  <c r="A212" i="7"/>
  <c r="A213" i="7"/>
  <c r="A214" i="7"/>
  <c r="A215" i="7"/>
  <c r="A216" i="7"/>
  <c r="A217" i="7"/>
  <c r="N256" i="5"/>
  <c r="O256" i="5" s="1"/>
  <c r="W30" i="8"/>
  <c r="X32" i="8"/>
  <c r="W28" i="8"/>
  <c r="W19" i="8"/>
  <c r="X19" i="8"/>
  <c r="X17" i="8"/>
  <c r="X22" i="8"/>
  <c r="W34" i="8"/>
  <c r="N255" i="5"/>
  <c r="O255" i="5" s="1"/>
  <c r="N254" i="5"/>
  <c r="O254" i="5" s="1"/>
  <c r="L253" i="5"/>
  <c r="N253" i="5"/>
  <c r="O253" i="5" s="1"/>
  <c r="N252" i="5"/>
  <c r="O252" i="5" s="1"/>
  <c r="N251" i="5"/>
  <c r="O251" i="5" s="1"/>
  <c r="N250" i="5"/>
  <c r="O250" i="5" s="1"/>
  <c r="N249" i="5"/>
  <c r="O249" i="5" s="1"/>
  <c r="N248" i="5"/>
  <c r="O248" i="5" s="1"/>
  <c r="N247" i="5"/>
  <c r="O247" i="5" s="1"/>
  <c r="L246" i="5"/>
  <c r="N246" i="5"/>
  <c r="O246" i="5" s="1"/>
  <c r="N245" i="5"/>
  <c r="O245" i="5" s="1"/>
  <c r="P203" i="7"/>
  <c r="Q203" i="7" s="1"/>
  <c r="P202" i="7"/>
  <c r="Q202" i="7" s="1"/>
  <c r="P201" i="7"/>
  <c r="Q201" i="7" s="1"/>
  <c r="P200" i="7"/>
  <c r="Q200" i="7" s="1"/>
  <c r="F186" i="7"/>
  <c r="F188" i="7"/>
  <c r="F192" i="7"/>
  <c r="F193" i="7"/>
  <c r="F196" i="7"/>
  <c r="F199" i="7"/>
  <c r="F200" i="7"/>
  <c r="F201" i="7"/>
  <c r="F202" i="7"/>
  <c r="F203" i="7"/>
  <c r="E183" i="7"/>
  <c r="E184" i="7"/>
  <c r="E185" i="7"/>
  <c r="E186" i="7"/>
  <c r="E187" i="7"/>
  <c r="E188" i="7"/>
  <c r="E189" i="7"/>
  <c r="E190" i="7"/>
  <c r="E191" i="7"/>
  <c r="E192" i="7"/>
  <c r="E193" i="7"/>
  <c r="E194" i="7"/>
  <c r="E195" i="7"/>
  <c r="E196" i="7"/>
  <c r="E197" i="7"/>
  <c r="E198" i="7"/>
  <c r="E199" i="7"/>
  <c r="E200" i="7"/>
  <c r="E201" i="7"/>
  <c r="E202" i="7"/>
  <c r="E203" i="7"/>
  <c r="D183" i="7"/>
  <c r="D184" i="7"/>
  <c r="D185" i="7"/>
  <c r="D186" i="7"/>
  <c r="D187" i="7"/>
  <c r="D188" i="7"/>
  <c r="D189" i="7"/>
  <c r="D190" i="7"/>
  <c r="D191" i="7"/>
  <c r="D192" i="7"/>
  <c r="D193" i="7"/>
  <c r="D194" i="7"/>
  <c r="D195" i="7"/>
  <c r="D196" i="7"/>
  <c r="D197" i="7"/>
  <c r="D198" i="7"/>
  <c r="D199" i="7"/>
  <c r="D200" i="7"/>
  <c r="D201" i="7"/>
  <c r="D202" i="7"/>
  <c r="A201" i="7"/>
  <c r="B201" i="7"/>
  <c r="C201" i="7"/>
  <c r="G201" i="7"/>
  <c r="H201" i="7"/>
  <c r="I201" i="7"/>
  <c r="K201" i="7"/>
  <c r="L201" i="7" s="1"/>
  <c r="A202" i="7"/>
  <c r="B202" i="7"/>
  <c r="C202" i="7"/>
  <c r="G202" i="7"/>
  <c r="H202" i="7"/>
  <c r="I202" i="7"/>
  <c r="K202" i="7"/>
  <c r="L202" i="7" s="1"/>
  <c r="A203" i="7"/>
  <c r="B203" i="7"/>
  <c r="C203" i="7"/>
  <c r="D203" i="7"/>
  <c r="G203" i="7"/>
  <c r="H203" i="7"/>
  <c r="I203" i="7"/>
  <c r="K203" i="7"/>
  <c r="L203" i="7" s="1"/>
  <c r="K200" i="7"/>
  <c r="L200" i="7" s="1"/>
  <c r="H200" i="7"/>
  <c r="I200" i="7"/>
  <c r="G200" i="7"/>
  <c r="B200" i="7"/>
  <c r="C200" i="7"/>
  <c r="A200" i="7"/>
  <c r="N243" i="5"/>
  <c r="O243" i="5" s="1"/>
  <c r="N242" i="5"/>
  <c r="O242" i="5" s="1"/>
  <c r="N241" i="5"/>
  <c r="O241" i="5" s="1"/>
  <c r="L128" i="5"/>
  <c r="L145" i="5"/>
  <c r="L150" i="5"/>
  <c r="L151" i="5"/>
  <c r="L177" i="5"/>
  <c r="L183" i="5"/>
  <c r="L192" i="5"/>
  <c r="L205" i="5"/>
  <c r="L214" i="5"/>
  <c r="L231" i="5"/>
  <c r="L232" i="5"/>
  <c r="L238" i="5"/>
  <c r="L240" i="5"/>
  <c r="N240" i="5"/>
  <c r="O240" i="5" s="1"/>
  <c r="P189" i="7"/>
  <c r="Q189" i="7" s="1"/>
  <c r="P190" i="7"/>
  <c r="Q190" i="7" s="1"/>
  <c r="P191" i="7"/>
  <c r="Q191" i="7" s="1"/>
  <c r="P192" i="7"/>
  <c r="Q192" i="7" s="1"/>
  <c r="R192" i="7" s="1"/>
  <c r="T192" i="7" s="1"/>
  <c r="W192" i="7" s="1"/>
  <c r="P193" i="7"/>
  <c r="Q193" i="7" s="1"/>
  <c r="P194" i="7"/>
  <c r="Q194" i="7" s="1"/>
  <c r="P195" i="7"/>
  <c r="Q195" i="7" s="1"/>
  <c r="P196" i="7"/>
  <c r="Q196" i="7" s="1"/>
  <c r="P197" i="7"/>
  <c r="Q197" i="7" s="1"/>
  <c r="P198" i="7"/>
  <c r="Q198" i="7" s="1"/>
  <c r="P199" i="7"/>
  <c r="Q199" i="7" s="1"/>
  <c r="P183" i="7"/>
  <c r="Q183" i="7" s="1"/>
  <c r="P185" i="7"/>
  <c r="Q185" i="7" s="1"/>
  <c r="S185" i="7" s="1"/>
  <c r="U185" i="7"/>
  <c r="P186" i="7"/>
  <c r="Q186" i="7" s="1"/>
  <c r="R186" i="7" s="1"/>
  <c r="T186" i="7" s="1"/>
  <c r="P187" i="7"/>
  <c r="Q187" i="7" s="1"/>
  <c r="P188" i="7"/>
  <c r="Q188" i="7" s="1"/>
  <c r="U184" i="7"/>
  <c r="P184" i="7"/>
  <c r="Q184" i="7" s="1"/>
  <c r="R184" i="7" s="1"/>
  <c r="T184" i="7" s="1"/>
  <c r="L183" i="7"/>
  <c r="U183" i="7" s="1"/>
  <c r="L186" i="7"/>
  <c r="U186" i="7" s="1"/>
  <c r="L187" i="7"/>
  <c r="L188" i="7"/>
  <c r="U188" i="7" s="1"/>
  <c r="L189" i="7"/>
  <c r="L190" i="7"/>
  <c r="U190" i="7" s="1"/>
  <c r="L191" i="7"/>
  <c r="U191" i="7" s="1"/>
  <c r="L192" i="7"/>
  <c r="U192" i="7" s="1"/>
  <c r="L193" i="7"/>
  <c r="U193" i="7" s="1"/>
  <c r="L194" i="7"/>
  <c r="L195" i="7"/>
  <c r="U195" i="7" s="1"/>
  <c r="L196" i="7"/>
  <c r="U196" i="7" s="1"/>
  <c r="L197" i="7"/>
  <c r="U197" i="7" s="1"/>
  <c r="L198" i="7"/>
  <c r="U198" i="7" s="1"/>
  <c r="L199" i="7"/>
  <c r="U199" i="7" s="1"/>
  <c r="N238" i="5"/>
  <c r="O238" i="5" s="1"/>
  <c r="N237" i="5"/>
  <c r="O237" i="5" s="1"/>
  <c r="N236" i="5"/>
  <c r="O236" i="5" s="1"/>
  <c r="N235" i="5"/>
  <c r="O235" i="5" s="1"/>
  <c r="N234" i="5"/>
  <c r="O234" i="5" s="1"/>
  <c r="N233" i="5"/>
  <c r="O233" i="5" s="1"/>
  <c r="N232" i="5"/>
  <c r="O232" i="5" s="1"/>
  <c r="N231" i="5"/>
  <c r="O231" i="5" s="1"/>
  <c r="N230" i="5"/>
  <c r="O230" i="5" s="1"/>
  <c r="N229" i="5"/>
  <c r="O229" i="5" s="1"/>
  <c r="N228" i="5"/>
  <c r="O228" i="5" s="1"/>
  <c r="N227" i="5"/>
  <c r="O227" i="5" s="1"/>
  <c r="N226" i="5"/>
  <c r="O226" i="5" s="1"/>
  <c r="N225" i="5"/>
  <c r="O225" i="5" s="1"/>
  <c r="N222" i="5"/>
  <c r="O222" i="5" s="1"/>
  <c r="D27" i="8"/>
  <c r="P181" i="7"/>
  <c r="Q181" i="7" s="1"/>
  <c r="P182" i="7"/>
  <c r="Q182" i="7" s="1"/>
  <c r="P180" i="7"/>
  <c r="Q180" i="7" s="1"/>
  <c r="P179" i="7"/>
  <c r="Q179" i="7" s="1"/>
  <c r="P178" i="7"/>
  <c r="Q178" i="7" s="1"/>
  <c r="P177" i="7"/>
  <c r="Q177" i="7" s="1"/>
  <c r="P176" i="7"/>
  <c r="Q176" i="7" s="1"/>
  <c r="L176" i="7"/>
  <c r="U176" i="7" s="1"/>
  <c r="L177" i="7"/>
  <c r="U177" i="7" s="1"/>
  <c r="L178" i="7"/>
  <c r="U178" i="7" s="1"/>
  <c r="L179" i="7"/>
  <c r="U179" i="7" s="1"/>
  <c r="L180" i="7"/>
  <c r="R180" i="7" s="1"/>
  <c r="T180" i="7" s="1"/>
  <c r="L181" i="7"/>
  <c r="U181" i="7" s="1"/>
  <c r="L182" i="7"/>
  <c r="U182" i="7" s="1"/>
  <c r="N219" i="5"/>
  <c r="O219" i="5" s="1"/>
  <c r="B24" i="8"/>
  <c r="V24" i="8" s="1"/>
  <c r="U24" i="8" s="1"/>
  <c r="C26" i="8"/>
  <c r="F26" i="8" s="1"/>
  <c r="C24" i="8"/>
  <c r="F24" i="8" s="1"/>
  <c r="P175" i="7"/>
  <c r="Q175" i="7" s="1"/>
  <c r="R175" i="7" s="1"/>
  <c r="T175" i="7" s="1"/>
  <c r="P174" i="7"/>
  <c r="Q174" i="7" s="1"/>
  <c r="P173" i="7"/>
  <c r="Q173" i="7" s="1"/>
  <c r="R173" i="7" s="1"/>
  <c r="T173" i="7" s="1"/>
  <c r="P172" i="7"/>
  <c r="Q172" i="7" s="1"/>
  <c r="P171" i="7"/>
  <c r="Q171" i="7" s="1"/>
  <c r="P170" i="7"/>
  <c r="Q170" i="7" s="1"/>
  <c r="P169" i="7"/>
  <c r="Q169" i="7" s="1"/>
  <c r="R169" i="7" s="1"/>
  <c r="T169" i="7" s="1"/>
  <c r="P168" i="7"/>
  <c r="Q168" i="7" s="1"/>
  <c r="R168" i="7" s="1"/>
  <c r="T168" i="7" s="1"/>
  <c r="P167" i="7"/>
  <c r="Q167" i="7" s="1"/>
  <c r="P166" i="7"/>
  <c r="Q166" i="7" s="1"/>
  <c r="P165" i="7"/>
  <c r="Q165" i="7" s="1"/>
  <c r="P164" i="7"/>
  <c r="Q164" i="7" s="1"/>
  <c r="P163" i="7"/>
  <c r="Q163" i="7" s="1"/>
  <c r="P162" i="7"/>
  <c r="Q162" i="7" s="1"/>
  <c r="P161" i="7"/>
  <c r="Q161" i="7" s="1"/>
  <c r="P160" i="7"/>
  <c r="Q160" i="7" s="1"/>
  <c r="R160" i="7" s="1"/>
  <c r="T160" i="7" s="1"/>
  <c r="P159" i="7"/>
  <c r="Q159" i="7" s="1"/>
  <c r="P158" i="7"/>
  <c r="Q158" i="7" s="1"/>
  <c r="P157" i="7"/>
  <c r="Q157" i="7" s="1"/>
  <c r="P156" i="7"/>
  <c r="Q156" i="7" s="1"/>
  <c r="P155" i="7"/>
  <c r="Q155" i="7" s="1"/>
  <c r="P154" i="7"/>
  <c r="Q154" i="7" s="1"/>
  <c r="P153" i="7"/>
  <c r="Q153" i="7" s="1"/>
  <c r="P152" i="7"/>
  <c r="Q152" i="7" s="1"/>
  <c r="P151" i="7"/>
  <c r="Q151" i="7" s="1"/>
  <c r="P150" i="7"/>
  <c r="Q150" i="7" s="1"/>
  <c r="P149" i="7"/>
  <c r="Q149" i="7" s="1"/>
  <c r="P148" i="7"/>
  <c r="Q148" i="7" s="1"/>
  <c r="P147" i="7"/>
  <c r="Q147" i="7" s="1"/>
  <c r="P146" i="7"/>
  <c r="Q146" i="7" s="1"/>
  <c r="L157" i="7"/>
  <c r="U157" i="7" s="1"/>
  <c r="L158" i="7"/>
  <c r="U158" i="7" s="1"/>
  <c r="L159" i="7"/>
  <c r="U159" i="7" s="1"/>
  <c r="L160" i="7"/>
  <c r="U160" i="7" s="1"/>
  <c r="L161" i="7"/>
  <c r="U161" i="7" s="1"/>
  <c r="L162" i="7"/>
  <c r="U162" i="7" s="1"/>
  <c r="L163" i="7"/>
  <c r="U163" i="7" s="1"/>
  <c r="L164" i="7"/>
  <c r="U164" i="7" s="1"/>
  <c r="L165" i="7"/>
  <c r="U165" i="7" s="1"/>
  <c r="L166" i="7"/>
  <c r="U166" i="7" s="1"/>
  <c r="L167" i="7"/>
  <c r="U167" i="7" s="1"/>
  <c r="L168" i="7"/>
  <c r="U168" i="7" s="1"/>
  <c r="L169" i="7"/>
  <c r="L170" i="7"/>
  <c r="U170" i="7" s="1"/>
  <c r="L171" i="7"/>
  <c r="U171" i="7" s="1"/>
  <c r="L172" i="7"/>
  <c r="R172" i="7" s="1"/>
  <c r="T172" i="7" s="1"/>
  <c r="L173" i="7"/>
  <c r="U173" i="7" s="1"/>
  <c r="L174" i="7"/>
  <c r="U174" i="7" s="1"/>
  <c r="L175" i="7"/>
  <c r="L146" i="7"/>
  <c r="U146" i="7" s="1"/>
  <c r="L147" i="7"/>
  <c r="U147" i="7" s="1"/>
  <c r="L148" i="7"/>
  <c r="U148" i="7" s="1"/>
  <c r="L149" i="7"/>
  <c r="U149" i="7" s="1"/>
  <c r="L150" i="7"/>
  <c r="U150" i="7" s="1"/>
  <c r="L151" i="7"/>
  <c r="U151" i="7" s="1"/>
  <c r="L152" i="7"/>
  <c r="U152" i="7" s="1"/>
  <c r="L153" i="7"/>
  <c r="U153" i="7" s="1"/>
  <c r="L154" i="7"/>
  <c r="U154" i="7" s="1"/>
  <c r="L155" i="7"/>
  <c r="U155" i="7" s="1"/>
  <c r="L156" i="7"/>
  <c r="U156" i="7" s="1"/>
  <c r="N214" i="5"/>
  <c r="O214" i="5" s="1"/>
  <c r="N211" i="5"/>
  <c r="O211" i="5" s="1"/>
  <c r="U26" i="8"/>
  <c r="X26" i="8" s="1"/>
  <c r="F27" i="8"/>
  <c r="N210" i="5"/>
  <c r="O210" i="5" s="1"/>
  <c r="N209" i="5"/>
  <c r="O209" i="5" s="1"/>
  <c r="N205" i="5"/>
  <c r="O205" i="5" s="1"/>
  <c r="N204" i="5"/>
  <c r="O204" i="5" s="1"/>
  <c r="N192" i="5"/>
  <c r="O192" i="5" s="1"/>
  <c r="N189" i="5"/>
  <c r="O189" i="5" s="1"/>
  <c r="N187" i="5"/>
  <c r="O187" i="5" s="1"/>
  <c r="D23" i="8"/>
  <c r="F23" i="8" s="1"/>
  <c r="P145" i="7"/>
  <c r="Q145" i="7" s="1"/>
  <c r="P144" i="7"/>
  <c r="Q144" i="7" s="1"/>
  <c r="R144" i="7" s="1"/>
  <c r="T144" i="7" s="1"/>
  <c r="P143" i="7"/>
  <c r="Q143" i="7" s="1"/>
  <c r="L143" i="7"/>
  <c r="L144" i="7"/>
  <c r="U144" i="7" s="1"/>
  <c r="L145" i="7"/>
  <c r="U145" i="7" s="1"/>
  <c r="N183" i="5"/>
  <c r="O183" i="5" s="1"/>
  <c r="N181" i="5"/>
  <c r="O181" i="5" s="1"/>
  <c r="D22" i="8"/>
  <c r="F22" i="8"/>
  <c r="C20" i="8"/>
  <c r="F20" i="8" s="1"/>
  <c r="C18" i="8"/>
  <c r="D17" i="8"/>
  <c r="F17" i="8"/>
  <c r="C15" i="8"/>
  <c r="C13" i="8"/>
  <c r="C12" i="8"/>
  <c r="F12" i="8"/>
  <c r="D11" i="8"/>
  <c r="C11" i="8"/>
  <c r="U11" i="8"/>
  <c r="X11" i="8" s="1"/>
  <c r="C10" i="8"/>
  <c r="U10" i="8" s="1"/>
  <c r="C9" i="8"/>
  <c r="U9" i="8"/>
  <c r="W9" i="8" s="1"/>
  <c r="C8" i="8"/>
  <c r="F8" i="8" s="1"/>
  <c r="C7" i="8"/>
  <c r="U7" i="8"/>
  <c r="X7" i="8" s="1"/>
  <c r="C6" i="8"/>
  <c r="U6" i="8" s="1"/>
  <c r="C5" i="8"/>
  <c r="U5" i="8"/>
  <c r="W5" i="8" s="1"/>
  <c r="D4" i="8"/>
  <c r="F4" i="8" s="1"/>
  <c r="D3" i="8"/>
  <c r="C2" i="8"/>
  <c r="U2" i="8" s="1"/>
  <c r="P142" i="7"/>
  <c r="Q142" i="7" s="1"/>
  <c r="R142" i="7" s="1"/>
  <c r="T142" i="7" s="1"/>
  <c r="V142" i="7" s="1"/>
  <c r="L142" i="7"/>
  <c r="U142" i="7" s="1"/>
  <c r="P141" i="7"/>
  <c r="Q141" i="7" s="1"/>
  <c r="R141" i="7" s="1"/>
  <c r="T141" i="7" s="1"/>
  <c r="V141" i="7" s="1"/>
  <c r="L141" i="7"/>
  <c r="U141" i="7" s="1"/>
  <c r="P140" i="7"/>
  <c r="Q140" i="7" s="1"/>
  <c r="R140" i="7" s="1"/>
  <c r="T140" i="7" s="1"/>
  <c r="V140" i="7" s="1"/>
  <c r="L140" i="7"/>
  <c r="U140" i="7" s="1"/>
  <c r="P139" i="7"/>
  <c r="Q139" i="7" s="1"/>
  <c r="R139" i="7" s="1"/>
  <c r="T139" i="7" s="1"/>
  <c r="V139" i="7" s="1"/>
  <c r="L139" i="7"/>
  <c r="U139" i="7" s="1"/>
  <c r="P138" i="7"/>
  <c r="Q138" i="7" s="1"/>
  <c r="R138" i="7" s="1"/>
  <c r="T138" i="7" s="1"/>
  <c r="V138" i="7" s="1"/>
  <c r="L138" i="7"/>
  <c r="U138" i="7" s="1"/>
  <c r="P137" i="7"/>
  <c r="Q137" i="7" s="1"/>
  <c r="R137" i="7" s="1"/>
  <c r="T137" i="7" s="1"/>
  <c r="V137" i="7" s="1"/>
  <c r="L137" i="7"/>
  <c r="U137" i="7" s="1"/>
  <c r="P136" i="7"/>
  <c r="Q136" i="7" s="1"/>
  <c r="R136" i="7" s="1"/>
  <c r="T136" i="7" s="1"/>
  <c r="V136" i="7" s="1"/>
  <c r="L136" i="7"/>
  <c r="U136" i="7" s="1"/>
  <c r="P135" i="7"/>
  <c r="Q135" i="7" s="1"/>
  <c r="L135" i="7"/>
  <c r="R135" i="7" s="1"/>
  <c r="T135" i="7" s="1"/>
  <c r="W135" i="7" s="1"/>
  <c r="P134" i="7"/>
  <c r="Q134" i="7" s="1"/>
  <c r="R134" i="7" s="1"/>
  <c r="T134" i="7" s="1"/>
  <c r="V134" i="7" s="1"/>
  <c r="L134" i="7"/>
  <c r="U134" i="7" s="1"/>
  <c r="P133" i="7"/>
  <c r="Q133" i="7" s="1"/>
  <c r="R133" i="7" s="1"/>
  <c r="T133" i="7" s="1"/>
  <c r="L133" i="7"/>
  <c r="U133" i="7" s="1"/>
  <c r="P132" i="7"/>
  <c r="Q132" i="7" s="1"/>
  <c r="L132" i="7"/>
  <c r="U132" i="7" s="1"/>
  <c r="P131" i="7"/>
  <c r="Q131" i="7" s="1"/>
  <c r="L131" i="7"/>
  <c r="U131" i="7" s="1"/>
  <c r="P130" i="7"/>
  <c r="Q130" i="7" s="1"/>
  <c r="L130" i="7"/>
  <c r="U130" i="7" s="1"/>
  <c r="P129" i="7"/>
  <c r="Q129" i="7" s="1"/>
  <c r="L129" i="7"/>
  <c r="R129" i="7" s="1"/>
  <c r="T129" i="7" s="1"/>
  <c r="P128" i="7"/>
  <c r="Q128" i="7" s="1"/>
  <c r="L128" i="7"/>
  <c r="R128" i="7" s="1"/>
  <c r="T128" i="7" s="1"/>
  <c r="V128" i="7" s="1"/>
  <c r="P127" i="7"/>
  <c r="Q127" i="7" s="1"/>
  <c r="L127" i="7"/>
  <c r="R127" i="7" s="1"/>
  <c r="T127" i="7" s="1"/>
  <c r="P126" i="7"/>
  <c r="Q126" i="7" s="1"/>
  <c r="L126" i="7"/>
  <c r="U126" i="7" s="1"/>
  <c r="P125" i="7"/>
  <c r="Q125" i="7" s="1"/>
  <c r="L125" i="7"/>
  <c r="R125" i="7" s="1"/>
  <c r="T125" i="7" s="1"/>
  <c r="P124" i="7"/>
  <c r="Q124" i="7" s="1"/>
  <c r="L124" i="7"/>
  <c r="U124" i="7" s="1"/>
  <c r="P123" i="7"/>
  <c r="Q123" i="7" s="1"/>
  <c r="R123" i="7" s="1"/>
  <c r="T123" i="7" s="1"/>
  <c r="W123" i="7" s="1"/>
  <c r="L123" i="7"/>
  <c r="U123" i="7" s="1"/>
  <c r="P122" i="7"/>
  <c r="Q122" i="7" s="1"/>
  <c r="L122" i="7"/>
  <c r="U122" i="7" s="1"/>
  <c r="P121" i="7"/>
  <c r="Q121" i="7" s="1"/>
  <c r="L121" i="7"/>
  <c r="R121" i="7" s="1"/>
  <c r="T121" i="7" s="1"/>
  <c r="P120" i="7"/>
  <c r="Q120" i="7" s="1"/>
  <c r="L120" i="7"/>
  <c r="R120" i="7" s="1"/>
  <c r="T120" i="7" s="1"/>
  <c r="P119" i="7"/>
  <c r="Q119" i="7" s="1"/>
  <c r="R119" i="7" s="1"/>
  <c r="T119" i="7" s="1"/>
  <c r="L119" i="7"/>
  <c r="P118" i="7"/>
  <c r="Q118" i="7" s="1"/>
  <c r="L118" i="7"/>
  <c r="U118" i="7" s="1"/>
  <c r="P117" i="7"/>
  <c r="Q117" i="7" s="1"/>
  <c r="L117" i="7"/>
  <c r="R117" i="7" s="1"/>
  <c r="T117" i="7" s="1"/>
  <c r="P116" i="7"/>
  <c r="Q116" i="7" s="1"/>
  <c r="L116" i="7"/>
  <c r="R116" i="7" s="1"/>
  <c r="T116" i="7" s="1"/>
  <c r="P115" i="7"/>
  <c r="Q115" i="7" s="1"/>
  <c r="L115" i="7"/>
  <c r="R115" i="7" s="1"/>
  <c r="T115" i="7" s="1"/>
  <c r="W115" i="7" s="1"/>
  <c r="P114" i="7"/>
  <c r="Q114" i="7" s="1"/>
  <c r="L114" i="7"/>
  <c r="U114" i="7" s="1"/>
  <c r="P113" i="7"/>
  <c r="Q113" i="7" s="1"/>
  <c r="R113" i="7" s="1"/>
  <c r="T113" i="7" s="1"/>
  <c r="V113" i="7" s="1"/>
  <c r="L113" i="7"/>
  <c r="U113" i="7" s="1"/>
  <c r="P112" i="7"/>
  <c r="Q112" i="7" s="1"/>
  <c r="R112" i="7" s="1"/>
  <c r="T112" i="7" s="1"/>
  <c r="L112" i="7"/>
  <c r="U112" i="7" s="1"/>
  <c r="P111" i="7"/>
  <c r="Q111" i="7" s="1"/>
  <c r="R111" i="7" s="1"/>
  <c r="T111" i="7" s="1"/>
  <c r="L111" i="7"/>
  <c r="U111" i="7" s="1"/>
  <c r="W110" i="7"/>
  <c r="V110" i="7"/>
  <c r="P110" i="7"/>
  <c r="Q110" i="7" s="1"/>
  <c r="L110" i="7"/>
  <c r="R110" i="7" s="1"/>
  <c r="W109" i="7"/>
  <c r="V109" i="7"/>
  <c r="P109" i="7"/>
  <c r="Q109" i="7" s="1"/>
  <c r="L109" i="7"/>
  <c r="R109" i="7" s="1"/>
  <c r="X108" i="7"/>
  <c r="Y108" i="7" s="1"/>
  <c r="W108" i="7"/>
  <c r="V108" i="7"/>
  <c r="P108" i="7"/>
  <c r="Q108" i="7" s="1"/>
  <c r="L108" i="7"/>
  <c r="W107" i="7"/>
  <c r="V107" i="7"/>
  <c r="P107" i="7"/>
  <c r="Q107" i="7" s="1"/>
  <c r="R107" i="7" s="1"/>
  <c r="L107" i="7"/>
  <c r="W106" i="7"/>
  <c r="V106" i="7"/>
  <c r="P106" i="7"/>
  <c r="Q106" i="7" s="1"/>
  <c r="L106" i="7"/>
  <c r="W105" i="7"/>
  <c r="V105" i="7"/>
  <c r="P105" i="7"/>
  <c r="Q105" i="7" s="1"/>
  <c r="R105" i="7" s="1"/>
  <c r="L105" i="7"/>
  <c r="W104" i="7"/>
  <c r="V104" i="7"/>
  <c r="P104" i="7"/>
  <c r="Q104" i="7" s="1"/>
  <c r="R104" i="7" s="1"/>
  <c r="L104" i="7"/>
  <c r="W103" i="7"/>
  <c r="V103" i="7"/>
  <c r="P103" i="7"/>
  <c r="Q103" i="7" s="1"/>
  <c r="L103" i="7"/>
  <c r="R103" i="7" s="1"/>
  <c r="X102" i="7"/>
  <c r="Y102" i="7" s="1"/>
  <c r="W102" i="7"/>
  <c r="V102" i="7"/>
  <c r="P102" i="7"/>
  <c r="Q102" i="7" s="1"/>
  <c r="L102" i="7"/>
  <c r="R102" i="7" s="1"/>
  <c r="W101" i="7"/>
  <c r="V101" i="7"/>
  <c r="P101" i="7"/>
  <c r="Q101" i="7" s="1"/>
  <c r="L101" i="7"/>
  <c r="W100" i="7"/>
  <c r="V100" i="7"/>
  <c r="P100" i="7"/>
  <c r="Q100" i="7" s="1"/>
  <c r="L100" i="7"/>
  <c r="R100" i="7" s="1"/>
  <c r="W99" i="7"/>
  <c r="V99" i="7"/>
  <c r="P99" i="7"/>
  <c r="Q99" i="7" s="1"/>
  <c r="L99" i="7"/>
  <c r="R99" i="7" s="1"/>
  <c r="W98" i="7"/>
  <c r="V98" i="7"/>
  <c r="P98" i="7"/>
  <c r="Q98" i="7" s="1"/>
  <c r="L98" i="7"/>
  <c r="X97" i="7"/>
  <c r="Y97" i="7" s="1"/>
  <c r="W97" i="7"/>
  <c r="V97" i="7"/>
  <c r="P97" i="7"/>
  <c r="Q97" i="7" s="1"/>
  <c r="R97" i="7" s="1"/>
  <c r="L97" i="7"/>
  <c r="W96" i="7"/>
  <c r="V96" i="7"/>
  <c r="P96" i="7"/>
  <c r="Q96" i="7" s="1"/>
  <c r="L96" i="7"/>
  <c r="W95" i="7"/>
  <c r="V95" i="7"/>
  <c r="P95" i="7"/>
  <c r="Q95" i="7" s="1"/>
  <c r="L95" i="7"/>
  <c r="W94" i="7"/>
  <c r="V94" i="7"/>
  <c r="P94" i="7"/>
  <c r="Q94" i="7" s="1"/>
  <c r="L94" i="7"/>
  <c r="R94" i="7" s="1"/>
  <c r="W93" i="7"/>
  <c r="V93" i="7"/>
  <c r="P93" i="7"/>
  <c r="Q93" i="7" s="1"/>
  <c r="L93" i="7"/>
  <c r="R93" i="7" s="1"/>
  <c r="W92" i="7"/>
  <c r="V92" i="7"/>
  <c r="P92" i="7"/>
  <c r="Q92" i="7" s="1"/>
  <c r="L92" i="7"/>
  <c r="R92" i="7" s="1"/>
  <c r="W91" i="7"/>
  <c r="V91" i="7"/>
  <c r="P91" i="7"/>
  <c r="Q91" i="7" s="1"/>
  <c r="L91" i="7"/>
  <c r="R91" i="7" s="1"/>
  <c r="X90" i="7"/>
  <c r="Y90" i="7" s="1"/>
  <c r="W90" i="7"/>
  <c r="V90" i="7"/>
  <c r="P90" i="7"/>
  <c r="Q90" i="7" s="1"/>
  <c r="R90" i="7" s="1"/>
  <c r="L90" i="7"/>
  <c r="W89" i="7"/>
  <c r="V89" i="7"/>
  <c r="P89" i="7"/>
  <c r="Q89" i="7" s="1"/>
  <c r="R89" i="7" s="1"/>
  <c r="L89" i="7"/>
  <c r="W88" i="7"/>
  <c r="V88" i="7"/>
  <c r="P88" i="7"/>
  <c r="Q88" i="7" s="1"/>
  <c r="L88" i="7"/>
  <c r="W87" i="7"/>
  <c r="V87" i="7"/>
  <c r="P87" i="7"/>
  <c r="Q87" i="7" s="1"/>
  <c r="L87" i="7"/>
  <c r="W86" i="7"/>
  <c r="V86" i="7"/>
  <c r="P86" i="7"/>
  <c r="Q86" i="7" s="1"/>
  <c r="R86" i="7" s="1"/>
  <c r="L86" i="7"/>
  <c r="W85" i="7"/>
  <c r="V85" i="7"/>
  <c r="P85" i="7"/>
  <c r="Q85" i="7" s="1"/>
  <c r="R85" i="7" s="1"/>
  <c r="L85" i="7"/>
  <c r="W84" i="7"/>
  <c r="V84" i="7"/>
  <c r="P84" i="7"/>
  <c r="Q84" i="7" s="1"/>
  <c r="L84" i="7"/>
  <c r="X83" i="7"/>
  <c r="Y83" i="7" s="1"/>
  <c r="W83" i="7"/>
  <c r="V83" i="7"/>
  <c r="P83" i="7"/>
  <c r="Q83" i="7" s="1"/>
  <c r="L83" i="7"/>
  <c r="W82" i="7"/>
  <c r="V82" i="7"/>
  <c r="P82" i="7"/>
  <c r="Q82" i="7" s="1"/>
  <c r="R82" i="7" s="1"/>
  <c r="L82" i="7"/>
  <c r="W81" i="7"/>
  <c r="V81" i="7"/>
  <c r="P81" i="7"/>
  <c r="Q81" i="7" s="1"/>
  <c r="L81" i="7"/>
  <c r="W80" i="7"/>
  <c r="V80" i="7"/>
  <c r="P80" i="7"/>
  <c r="Q80" i="7" s="1"/>
  <c r="L80" i="7"/>
  <c r="W79" i="7"/>
  <c r="V79" i="7"/>
  <c r="P79" i="7"/>
  <c r="Q79" i="7" s="1"/>
  <c r="L79" i="7"/>
  <c r="W78" i="7"/>
  <c r="V78" i="7"/>
  <c r="P78" i="7"/>
  <c r="Q78" i="7" s="1"/>
  <c r="L78" i="7"/>
  <c r="R78" i="7" s="1"/>
  <c r="W77" i="7"/>
  <c r="V77" i="7"/>
  <c r="P77" i="7"/>
  <c r="Q77" i="7" s="1"/>
  <c r="L77" i="7"/>
  <c r="W76" i="7"/>
  <c r="V76" i="7"/>
  <c r="P76" i="7"/>
  <c r="Q76" i="7" s="1"/>
  <c r="L76" i="7"/>
  <c r="X75" i="7"/>
  <c r="Y75" i="7" s="1"/>
  <c r="W75" i="7"/>
  <c r="V75" i="7"/>
  <c r="P75" i="7"/>
  <c r="Q75" i="7" s="1"/>
  <c r="R75" i="7" s="1"/>
  <c r="L75" i="7"/>
  <c r="W74" i="7"/>
  <c r="V74" i="7"/>
  <c r="P74" i="7"/>
  <c r="Q74" i="7" s="1"/>
  <c r="L74" i="7"/>
  <c r="W73" i="7"/>
  <c r="V73" i="7"/>
  <c r="P73" i="7"/>
  <c r="Q73" i="7" s="1"/>
  <c r="L73" i="7"/>
  <c r="W72" i="7"/>
  <c r="V72" i="7"/>
  <c r="P72" i="7"/>
  <c r="Q72" i="7" s="1"/>
  <c r="L72" i="7"/>
  <c r="W71" i="7"/>
  <c r="V71" i="7"/>
  <c r="P71" i="7"/>
  <c r="Q71" i="7" s="1"/>
  <c r="R71" i="7" s="1"/>
  <c r="L71" i="7"/>
  <c r="W70" i="7"/>
  <c r="V70" i="7"/>
  <c r="P70" i="7"/>
  <c r="Q70" i="7" s="1"/>
  <c r="L70" i="7"/>
  <c r="R70" i="7" s="1"/>
  <c r="W69" i="7"/>
  <c r="V69" i="7"/>
  <c r="P69" i="7"/>
  <c r="Q69" i="7" s="1"/>
  <c r="L69" i="7"/>
  <c r="R69" i="7" s="1"/>
  <c r="W68" i="7"/>
  <c r="V68" i="7"/>
  <c r="P68" i="7"/>
  <c r="Q68" i="7" s="1"/>
  <c r="L68" i="7"/>
  <c r="R68" i="7" s="1"/>
  <c r="X67" i="7"/>
  <c r="Y67" i="7" s="1"/>
  <c r="W67" i="7"/>
  <c r="V67" i="7"/>
  <c r="P67" i="7"/>
  <c r="Q67" i="7" s="1"/>
  <c r="R67" i="7" s="1"/>
  <c r="L67" i="7"/>
  <c r="W66" i="7"/>
  <c r="V66" i="7"/>
  <c r="P66" i="7"/>
  <c r="Q66" i="7" s="1"/>
  <c r="R66" i="7" s="1"/>
  <c r="L66" i="7"/>
  <c r="W65" i="7"/>
  <c r="V65" i="7"/>
  <c r="P65" i="7"/>
  <c r="Q65" i="7" s="1"/>
  <c r="L65" i="7"/>
  <c r="R65" i="7" s="1"/>
  <c r="W64" i="7"/>
  <c r="V64" i="7"/>
  <c r="P64" i="7"/>
  <c r="Q64" i="7" s="1"/>
  <c r="R64" i="7" s="1"/>
  <c r="L64" i="7"/>
  <c r="W63" i="7"/>
  <c r="V63" i="7"/>
  <c r="P63" i="7"/>
  <c r="Q63" i="7" s="1"/>
  <c r="L63" i="7"/>
  <c r="W62" i="7"/>
  <c r="V62" i="7"/>
  <c r="P62" i="7"/>
  <c r="Q62" i="7" s="1"/>
  <c r="R62" i="7" s="1"/>
  <c r="L62" i="7"/>
  <c r="W61" i="7"/>
  <c r="V61" i="7"/>
  <c r="P61" i="7"/>
  <c r="Q61" i="7" s="1"/>
  <c r="R61" i="7" s="1"/>
  <c r="L61" i="7"/>
  <c r="W60" i="7"/>
  <c r="V60" i="7"/>
  <c r="P60" i="7"/>
  <c r="Q60" i="7" s="1"/>
  <c r="L60" i="7"/>
  <c r="X59" i="7"/>
  <c r="Y59" i="7" s="1"/>
  <c r="W59" i="7"/>
  <c r="V59" i="7"/>
  <c r="P59" i="7"/>
  <c r="Q59" i="7" s="1"/>
  <c r="L59" i="7"/>
  <c r="W58" i="7"/>
  <c r="V58" i="7"/>
  <c r="P58" i="7"/>
  <c r="Q58" i="7" s="1"/>
  <c r="R58" i="7" s="1"/>
  <c r="L58" i="7"/>
  <c r="W57" i="7"/>
  <c r="V57" i="7"/>
  <c r="P57" i="7"/>
  <c r="Q57" i="7" s="1"/>
  <c r="R57" i="7" s="1"/>
  <c r="L57" i="7"/>
  <c r="W56" i="7"/>
  <c r="V56" i="7"/>
  <c r="P56" i="7"/>
  <c r="Q56" i="7" s="1"/>
  <c r="L56" i="7"/>
  <c r="W55" i="7"/>
  <c r="V55" i="7"/>
  <c r="P55" i="7"/>
  <c r="Q55" i="7" s="1"/>
  <c r="L55" i="7"/>
  <c r="W54" i="7"/>
  <c r="V54" i="7"/>
  <c r="P54" i="7"/>
  <c r="Q54" i="7" s="1"/>
  <c r="L54" i="7"/>
  <c r="R54" i="7" s="1"/>
  <c r="W53" i="7"/>
  <c r="V53" i="7"/>
  <c r="P53" i="7"/>
  <c r="Q53" i="7" s="1"/>
  <c r="L53" i="7"/>
  <c r="X52" i="7"/>
  <c r="Y52" i="7" s="1"/>
  <c r="W52" i="7"/>
  <c r="V52" i="7"/>
  <c r="P52" i="7"/>
  <c r="Q52" i="7" s="1"/>
  <c r="L52" i="7"/>
  <c r="W51" i="7"/>
  <c r="V51" i="7"/>
  <c r="P51" i="7"/>
  <c r="Q51" i="7" s="1"/>
  <c r="L51" i="7"/>
  <c r="W50" i="7"/>
  <c r="V50" i="7"/>
  <c r="P50" i="7"/>
  <c r="Q50" i="7" s="1"/>
  <c r="L50" i="7"/>
  <c r="R50" i="7" s="1"/>
  <c r="W49" i="7"/>
  <c r="V49" i="7"/>
  <c r="P49" i="7"/>
  <c r="Q49" i="7" s="1"/>
  <c r="L49" i="7"/>
  <c r="R49" i="7" s="1"/>
  <c r="W48" i="7"/>
  <c r="V48" i="7"/>
  <c r="P48" i="7"/>
  <c r="Q48" i="7" s="1"/>
  <c r="R48" i="7" s="1"/>
  <c r="L48" i="7"/>
  <c r="W47" i="7"/>
  <c r="V47" i="7"/>
  <c r="P47" i="7"/>
  <c r="Q47" i="7" s="1"/>
  <c r="L47" i="7"/>
  <c r="R47" i="7" s="1"/>
  <c r="X46" i="7"/>
  <c r="Y46" i="7" s="1"/>
  <c r="W46" i="7"/>
  <c r="V46" i="7"/>
  <c r="P46" i="7"/>
  <c r="Q46" i="7" s="1"/>
  <c r="L46" i="7"/>
  <c r="R46" i="7" s="1"/>
  <c r="W45" i="7"/>
  <c r="V45" i="7"/>
  <c r="P45" i="7"/>
  <c r="Q45" i="7" s="1"/>
  <c r="L45" i="7"/>
  <c r="R45" i="7" s="1"/>
  <c r="W44" i="7"/>
  <c r="V44" i="7"/>
  <c r="P44" i="7"/>
  <c r="Q44" i="7" s="1"/>
  <c r="L44" i="7"/>
  <c r="R44" i="7" s="1"/>
  <c r="W43" i="7"/>
  <c r="V43" i="7"/>
  <c r="P43" i="7"/>
  <c r="Q43" i="7" s="1"/>
  <c r="L43" i="7"/>
  <c r="R43" i="7" s="1"/>
  <c r="W42" i="7"/>
  <c r="V42" i="7"/>
  <c r="Z46" i="7" s="1"/>
  <c r="P42" i="7"/>
  <c r="Q42" i="7" s="1"/>
  <c r="L42" i="7"/>
  <c r="X41" i="7"/>
  <c r="Y41" i="7" s="1"/>
  <c r="W41" i="7"/>
  <c r="V41" i="7"/>
  <c r="P41" i="7"/>
  <c r="Q41" i="7" s="1"/>
  <c r="R41" i="7" s="1"/>
  <c r="L41" i="7"/>
  <c r="W40" i="7"/>
  <c r="V40" i="7"/>
  <c r="P40" i="7"/>
  <c r="Q40" i="7" s="1"/>
  <c r="L40" i="7"/>
  <c r="R40" i="7" s="1"/>
  <c r="W39" i="7"/>
  <c r="V39" i="7"/>
  <c r="P39" i="7"/>
  <c r="Q39" i="7" s="1"/>
  <c r="L39" i="7"/>
  <c r="R39" i="7" s="1"/>
  <c r="W38" i="7"/>
  <c r="V38" i="7"/>
  <c r="P38" i="7"/>
  <c r="Q38" i="7" s="1"/>
  <c r="L38" i="7"/>
  <c r="R38" i="7" s="1"/>
  <c r="W37" i="7"/>
  <c r="V37" i="7"/>
  <c r="P37" i="7"/>
  <c r="Q37" i="7" s="1"/>
  <c r="L37" i="7"/>
  <c r="R37" i="7" s="1"/>
  <c r="W36" i="7"/>
  <c r="V36" i="7"/>
  <c r="P36" i="7"/>
  <c r="Q36" i="7" s="1"/>
  <c r="R36" i="7" s="1"/>
  <c r="L36" i="7"/>
  <c r="X35" i="7"/>
  <c r="Y35" i="7" s="1"/>
  <c r="W35" i="7"/>
  <c r="V35" i="7"/>
  <c r="P35" i="7"/>
  <c r="Q35" i="7" s="1"/>
  <c r="L35" i="7"/>
  <c r="R35" i="7" s="1"/>
  <c r="W34" i="7"/>
  <c r="V34" i="7"/>
  <c r="P34" i="7"/>
  <c r="Q34" i="7" s="1"/>
  <c r="L34" i="7"/>
  <c r="R34" i="7" s="1"/>
  <c r="W33" i="7"/>
  <c r="V33" i="7"/>
  <c r="P33" i="7"/>
  <c r="Q33" i="7" s="1"/>
  <c r="L33" i="7"/>
  <c r="R33" i="7" s="1"/>
  <c r="W32" i="7"/>
  <c r="V32" i="7"/>
  <c r="P32" i="7"/>
  <c r="Q32" i="7" s="1"/>
  <c r="L32" i="7"/>
  <c r="R32" i="7" s="1"/>
  <c r="W31" i="7"/>
  <c r="V31" i="7"/>
  <c r="P31" i="7"/>
  <c r="Q31" i="7" s="1"/>
  <c r="R31" i="7" s="1"/>
  <c r="L31" i="7"/>
  <c r="W30" i="7"/>
  <c r="V30" i="7"/>
  <c r="P30" i="7"/>
  <c r="Q30" i="7" s="1"/>
  <c r="L30" i="7"/>
  <c r="X29" i="7"/>
  <c r="Y29" i="7" s="1"/>
  <c r="W29" i="7"/>
  <c r="V29" i="7"/>
  <c r="P29" i="7"/>
  <c r="Q29" i="7" s="1"/>
  <c r="L29" i="7"/>
  <c r="R29" i="7" s="1"/>
  <c r="W28" i="7"/>
  <c r="V28" i="7"/>
  <c r="P28" i="7"/>
  <c r="Q28" i="7" s="1"/>
  <c r="R28" i="7" s="1"/>
  <c r="L28" i="7"/>
  <c r="W27" i="7"/>
  <c r="V27" i="7"/>
  <c r="P27" i="7"/>
  <c r="Q27" i="7" s="1"/>
  <c r="L27" i="7"/>
  <c r="W26" i="7"/>
  <c r="V26" i="7"/>
  <c r="P26" i="7"/>
  <c r="Q26" i="7" s="1"/>
  <c r="L26" i="7"/>
  <c r="W25" i="7"/>
  <c r="V25" i="7"/>
  <c r="P25" i="7"/>
  <c r="Q25" i="7" s="1"/>
  <c r="R25" i="7" s="1"/>
  <c r="L25" i="7"/>
  <c r="W24" i="7"/>
  <c r="V24" i="7"/>
  <c r="P24" i="7"/>
  <c r="Q24" i="7" s="1"/>
  <c r="L24" i="7"/>
  <c r="W23" i="7"/>
  <c r="V23" i="7"/>
  <c r="P23" i="7"/>
  <c r="Q23" i="7" s="1"/>
  <c r="R23" i="7" s="1"/>
  <c r="L23" i="7"/>
  <c r="W22" i="7"/>
  <c r="V22" i="7"/>
  <c r="P22" i="7"/>
  <c r="Q22" i="7" s="1"/>
  <c r="R22" i="7" s="1"/>
  <c r="L22" i="7"/>
  <c r="X21" i="7"/>
  <c r="Y21" i="7" s="1"/>
  <c r="W21" i="7"/>
  <c r="V21" i="7"/>
  <c r="P21" i="7"/>
  <c r="Q21" i="7" s="1"/>
  <c r="L21" i="7"/>
  <c r="W20" i="7"/>
  <c r="V20" i="7"/>
  <c r="P20" i="7"/>
  <c r="Q20" i="7" s="1"/>
  <c r="R20" i="7" s="1"/>
  <c r="L20" i="7"/>
  <c r="W19" i="7"/>
  <c r="V19" i="7"/>
  <c r="P19" i="7"/>
  <c r="Q19" i="7" s="1"/>
  <c r="R19" i="7" s="1"/>
  <c r="L19" i="7"/>
  <c r="W18" i="7"/>
  <c r="V18" i="7"/>
  <c r="P18" i="7"/>
  <c r="Q18" i="7" s="1"/>
  <c r="L18" i="7"/>
  <c r="W17" i="7"/>
  <c r="V17" i="7"/>
  <c r="P17" i="7"/>
  <c r="Q17" i="7" s="1"/>
  <c r="R17" i="7" s="1"/>
  <c r="L17" i="7"/>
  <c r="W16" i="7"/>
  <c r="V16" i="7"/>
  <c r="P16" i="7"/>
  <c r="Q16" i="7" s="1"/>
  <c r="L16" i="7"/>
  <c r="R16" i="7" s="1"/>
  <c r="X15" i="7"/>
  <c r="Y15" i="7" s="1"/>
  <c r="W15" i="7"/>
  <c r="V15" i="7"/>
  <c r="P15" i="7"/>
  <c r="Q15" i="7" s="1"/>
  <c r="L15" i="7"/>
  <c r="W14" i="7"/>
  <c r="V14" i="7"/>
  <c r="P14" i="7"/>
  <c r="Q14" i="7" s="1"/>
  <c r="R14" i="7" s="1"/>
  <c r="L14" i="7"/>
  <c r="W13" i="7"/>
  <c r="V13" i="7"/>
  <c r="P13" i="7"/>
  <c r="Q13" i="7" s="1"/>
  <c r="L13" i="7"/>
  <c r="W12" i="7"/>
  <c r="V12" i="7"/>
  <c r="P12" i="7"/>
  <c r="Q12" i="7" s="1"/>
  <c r="L12" i="7"/>
  <c r="R12" i="7" s="1"/>
  <c r="W11" i="7"/>
  <c r="V11" i="7"/>
  <c r="P11" i="7"/>
  <c r="Q11" i="7" s="1"/>
  <c r="L11" i="7"/>
  <c r="R11" i="7" s="1"/>
  <c r="W10" i="7"/>
  <c r="V10" i="7"/>
  <c r="P10" i="7"/>
  <c r="Q10" i="7" s="1"/>
  <c r="L10" i="7"/>
  <c r="R10" i="7" s="1"/>
  <c r="W9" i="7"/>
  <c r="V9" i="7"/>
  <c r="P9" i="7"/>
  <c r="Q9" i="7" s="1"/>
  <c r="R9" i="7" s="1"/>
  <c r="L9" i="7"/>
  <c r="X8" i="7"/>
  <c r="Y8" i="7" s="1"/>
  <c r="W8" i="7"/>
  <c r="V8" i="7"/>
  <c r="P8" i="7"/>
  <c r="Q8" i="7" s="1"/>
  <c r="L8" i="7"/>
  <c r="R8" i="7" s="1"/>
  <c r="W7" i="7"/>
  <c r="V7" i="7"/>
  <c r="P7" i="7"/>
  <c r="Q7" i="7" s="1"/>
  <c r="L7" i="7"/>
  <c r="W6" i="7"/>
  <c r="V6" i="7"/>
  <c r="P6" i="7"/>
  <c r="Q6" i="7" s="1"/>
  <c r="R6" i="7" s="1"/>
  <c r="L6" i="7"/>
  <c r="W5" i="7"/>
  <c r="V5" i="7"/>
  <c r="P5" i="7"/>
  <c r="Q5" i="7" s="1"/>
  <c r="R5" i="7" s="1"/>
  <c r="L5" i="7"/>
  <c r="W4" i="7"/>
  <c r="V4" i="7"/>
  <c r="P4" i="7"/>
  <c r="Q4" i="7" s="1"/>
  <c r="R4" i="7" s="1"/>
  <c r="L4" i="7"/>
  <c r="W3" i="7"/>
  <c r="V3" i="7"/>
  <c r="P3" i="7"/>
  <c r="Q3" i="7" s="1"/>
  <c r="L3" i="7"/>
  <c r="R3" i="7" s="1"/>
  <c r="U13" i="8"/>
  <c r="F13" i="8"/>
  <c r="U15" i="8"/>
  <c r="X15" i="8" s="1"/>
  <c r="W15" i="8"/>
  <c r="F15" i="8"/>
  <c r="F18" i="8"/>
  <c r="F7" i="8"/>
  <c r="F2" i="8"/>
  <c r="F9" i="8"/>
  <c r="F3" i="8"/>
  <c r="F5" i="8"/>
  <c r="X5" i="8"/>
  <c r="W7" i="8"/>
  <c r="X9" i="8"/>
  <c r="W11" i="8"/>
  <c r="W13" i="8"/>
  <c r="X13" i="8"/>
  <c r="W22" i="8"/>
  <c r="W17" i="8"/>
  <c r="F11" i="8"/>
  <c r="N179" i="5"/>
  <c r="O179" i="5" s="1"/>
  <c r="N177" i="5"/>
  <c r="O177" i="5" s="1"/>
  <c r="N176" i="5"/>
  <c r="O176" i="5" s="1"/>
  <c r="N173" i="5"/>
  <c r="O173" i="5" s="1"/>
  <c r="N171" i="5"/>
  <c r="O171" i="5" s="1"/>
  <c r="N169" i="5"/>
  <c r="O169" i="5" s="1"/>
  <c r="N167" i="5"/>
  <c r="O167" i="5" s="1"/>
  <c r="N166" i="5"/>
  <c r="O166" i="5" s="1"/>
  <c r="N165" i="5"/>
  <c r="O165" i="5" s="1"/>
  <c r="N164" i="5"/>
  <c r="O164" i="5" s="1"/>
  <c r="N163" i="5"/>
  <c r="O163" i="5" s="1"/>
  <c r="N161" i="5"/>
  <c r="O161" i="5" s="1"/>
  <c r="N160" i="5"/>
  <c r="O160" i="5" s="1"/>
  <c r="N159" i="5"/>
  <c r="O159" i="5" s="1"/>
  <c r="N158" i="5"/>
  <c r="O158" i="5" s="1"/>
  <c r="N155" i="5"/>
  <c r="O155" i="5" s="1"/>
  <c r="N154" i="5"/>
  <c r="O154" i="5" s="1"/>
  <c r="N153" i="5"/>
  <c r="O153" i="5" s="1"/>
  <c r="N152" i="5"/>
  <c r="O152" i="5" s="1"/>
  <c r="N151" i="5"/>
  <c r="O151" i="5" s="1"/>
  <c r="N150" i="5"/>
  <c r="O150" i="5" s="1"/>
  <c r="N149" i="5"/>
  <c r="O149" i="5" s="1"/>
  <c r="N139" i="5"/>
  <c r="O139" i="5" s="1"/>
  <c r="N140" i="5"/>
  <c r="O140" i="5" s="1"/>
  <c r="N141" i="5"/>
  <c r="O141" i="5" s="1"/>
  <c r="N143" i="5"/>
  <c r="O143" i="5" s="1"/>
  <c r="N144" i="5"/>
  <c r="O144" i="5" s="1"/>
  <c r="N145" i="5"/>
  <c r="O145" i="5" s="1"/>
  <c r="N146" i="5"/>
  <c r="O146" i="5" s="1"/>
  <c r="N147" i="5"/>
  <c r="O147" i="5" s="1"/>
  <c r="N137" i="5"/>
  <c r="O137" i="5" s="1"/>
  <c r="D49" i="5"/>
  <c r="D53" i="5"/>
  <c r="D48" i="5"/>
  <c r="R183" i="7" l="1"/>
  <c r="T183" i="7" s="1"/>
  <c r="S104" i="7"/>
  <c r="Z52" i="7"/>
  <c r="Z83" i="7"/>
  <c r="U125" i="7"/>
  <c r="AA46" i="7"/>
  <c r="AA35" i="7"/>
  <c r="AA102" i="7"/>
  <c r="Z108" i="7"/>
  <c r="AA108" i="7"/>
  <c r="Z41" i="7"/>
  <c r="Z67" i="7"/>
  <c r="AA41" i="7"/>
  <c r="AA97" i="7"/>
  <c r="AA29" i="7"/>
  <c r="Z75" i="7"/>
  <c r="R185" i="7"/>
  <c r="T185" i="7" s="1"/>
  <c r="V185" i="7" s="1"/>
  <c r="AA75" i="7"/>
  <c r="Z35" i="7"/>
  <c r="W142" i="7"/>
  <c r="Z29" i="7"/>
  <c r="AA83" i="7"/>
  <c r="W134" i="7"/>
  <c r="W140" i="7"/>
  <c r="Z59" i="7"/>
  <c r="W136" i="7"/>
  <c r="AA52" i="7"/>
  <c r="Z97" i="7"/>
  <c r="R126" i="7"/>
  <c r="T126" i="7" s="1"/>
  <c r="W126" i="7" s="1"/>
  <c r="U128" i="7"/>
  <c r="AA59" i="7"/>
  <c r="U116" i="7"/>
  <c r="X113" i="7"/>
  <c r="Y113" i="7" s="1"/>
  <c r="S121" i="7"/>
  <c r="Z8" i="7"/>
  <c r="S71" i="7"/>
  <c r="S75" i="7"/>
  <c r="S184" i="7"/>
  <c r="AA8" i="7"/>
  <c r="V115" i="7"/>
  <c r="S140" i="7"/>
  <c r="S113" i="7"/>
  <c r="S105" i="7"/>
  <c r="S36" i="7"/>
  <c r="S61" i="7"/>
  <c r="S66" i="7"/>
  <c r="S67" i="7"/>
  <c r="W127" i="7"/>
  <c r="V127" i="7"/>
  <c r="S120" i="7"/>
  <c r="S129" i="7"/>
  <c r="S135" i="7"/>
  <c r="R122" i="7"/>
  <c r="T122" i="7" s="1"/>
  <c r="V122" i="7" s="1"/>
  <c r="U127" i="7"/>
  <c r="S122" i="7"/>
  <c r="S127" i="7"/>
  <c r="V135" i="7"/>
  <c r="U129" i="7"/>
  <c r="X131" i="7" s="1"/>
  <c r="U135" i="7"/>
  <c r="X138" i="7" s="1"/>
  <c r="Y138" i="7" s="1"/>
  <c r="S128" i="7"/>
  <c r="W141" i="7"/>
  <c r="W139" i="7"/>
  <c r="U115" i="7"/>
  <c r="U120" i="7"/>
  <c r="S31" i="7"/>
  <c r="S57" i="7"/>
  <c r="S58" i="7"/>
  <c r="S85" i="7"/>
  <c r="S86" i="7"/>
  <c r="Z5" i="8"/>
  <c r="W2" i="8"/>
  <c r="X2" i="8"/>
  <c r="X6" i="8"/>
  <c r="W6" i="8"/>
  <c r="W33" i="8"/>
  <c r="X33" i="8"/>
  <c r="W23" i="8"/>
  <c r="X23" i="8"/>
  <c r="X20" i="8"/>
  <c r="W20" i="8"/>
  <c r="X24" i="8"/>
  <c r="W24" i="8"/>
  <c r="W18" i="8"/>
  <c r="X18" i="8"/>
  <c r="AJ42" i="8"/>
  <c r="AJ40" i="8"/>
  <c r="AJ41" i="8"/>
  <c r="Z32" i="8"/>
  <c r="W27" i="8"/>
  <c r="X27" i="8"/>
  <c r="Z35" i="8" s="1"/>
  <c r="W54" i="8"/>
  <c r="X54" i="8"/>
  <c r="W31" i="8"/>
  <c r="X31" i="8"/>
  <c r="W21" i="8"/>
  <c r="X21" i="8"/>
  <c r="X36" i="8"/>
  <c r="W36" i="8"/>
  <c r="W10" i="8"/>
  <c r="X10" i="8"/>
  <c r="W29" i="8"/>
  <c r="X29" i="8"/>
  <c r="X16" i="8"/>
  <c r="W16" i="8"/>
  <c r="W12" i="8"/>
  <c r="X12" i="8"/>
  <c r="W8" i="8"/>
  <c r="X8" i="8"/>
  <c r="W35" i="8"/>
  <c r="X35" i="8"/>
  <c r="W40" i="8"/>
  <c r="X40" i="8"/>
  <c r="W122" i="7"/>
  <c r="AA67" i="7"/>
  <c r="Z2" i="8"/>
  <c r="U117" i="7"/>
  <c r="S117" i="7"/>
  <c r="S136" i="7"/>
  <c r="S111" i="7"/>
  <c r="F10" i="8"/>
  <c r="S145" i="7"/>
  <c r="W26" i="8"/>
  <c r="Z34" i="8" s="1"/>
  <c r="R190" i="7"/>
  <c r="T190" i="7" s="1"/>
  <c r="V190" i="7" s="1"/>
  <c r="X41" i="8"/>
  <c r="X43" i="8"/>
  <c r="X49" i="8"/>
  <c r="X53" i="8"/>
  <c r="X55" i="8"/>
  <c r="S137" i="7"/>
  <c r="M8" i="7"/>
  <c r="W3" i="8"/>
  <c r="S25" i="7"/>
  <c r="W137" i="7"/>
  <c r="F6" i="8"/>
  <c r="X47" i="8"/>
  <c r="X48" i="8"/>
  <c r="V133" i="7"/>
  <c r="W133" i="7"/>
  <c r="S182" i="7"/>
  <c r="R182" i="7"/>
  <c r="T182" i="7" s="1"/>
  <c r="W182" i="7" s="1"/>
  <c r="Z15" i="7"/>
  <c r="S16" i="7"/>
  <c r="S90" i="7"/>
  <c r="S126" i="7"/>
  <c r="S186" i="7"/>
  <c r="R197" i="7"/>
  <c r="T197" i="7" s="1"/>
  <c r="W197" i="7" s="1"/>
  <c r="S188" i="7"/>
  <c r="R234" i="7"/>
  <c r="T234" i="7" s="1"/>
  <c r="V234" i="7" s="1"/>
  <c r="R242" i="7"/>
  <c r="T242" i="7" s="1"/>
  <c r="V242" i="7" s="1"/>
  <c r="S119" i="7"/>
  <c r="S123" i="7"/>
  <c r="S143" i="7"/>
  <c r="R166" i="7"/>
  <c r="T166" i="7" s="1"/>
  <c r="W166" i="7" s="1"/>
  <c r="S173" i="7"/>
  <c r="S14" i="7"/>
  <c r="S89" i="7"/>
  <c r="AA90" i="7"/>
  <c r="S234" i="7"/>
  <c r="V125" i="7"/>
  <c r="W125" i="7"/>
  <c r="R124" i="7"/>
  <c r="T124" i="7" s="1"/>
  <c r="S124" i="7"/>
  <c r="R18" i="7"/>
  <c r="S18" i="7"/>
  <c r="W121" i="7"/>
  <c r="V121" i="7"/>
  <c r="S177" i="7"/>
  <c r="R177" i="7"/>
  <c r="T177" i="7" s="1"/>
  <c r="R15" i="7"/>
  <c r="S15" i="7"/>
  <c r="R159" i="7"/>
  <c r="T159" i="7" s="1"/>
  <c r="W159" i="7" s="1"/>
  <c r="S159" i="7"/>
  <c r="R130" i="7"/>
  <c r="T130" i="7" s="1"/>
  <c r="S130" i="7"/>
  <c r="W144" i="7"/>
  <c r="V144" i="7"/>
  <c r="S166" i="7"/>
  <c r="S6" i="7"/>
  <c r="R114" i="7"/>
  <c r="T114" i="7" s="1"/>
  <c r="S11" i="7"/>
  <c r="Z102" i="7"/>
  <c r="S116" i="7"/>
  <c r="V123" i="7"/>
  <c r="S114" i="7"/>
  <c r="S142" i="7"/>
  <c r="R118" i="7"/>
  <c r="T118" i="7" s="1"/>
  <c r="W118" i="7" s="1"/>
  <c r="S118" i="7"/>
  <c r="U121" i="7"/>
  <c r="S144" i="7"/>
  <c r="R131" i="7"/>
  <c r="T131" i="7" s="1"/>
  <c r="S133" i="7"/>
  <c r="U119" i="7"/>
  <c r="S4" i="7"/>
  <c r="AA21" i="7"/>
  <c r="Z21" i="7"/>
  <c r="S125" i="7"/>
  <c r="S131" i="7"/>
  <c r="U180" i="7"/>
  <c r="X182" i="7" s="1"/>
  <c r="S160" i="7"/>
  <c r="S192" i="7"/>
  <c r="S183" i="7"/>
  <c r="R224" i="7"/>
  <c r="T224" i="7" s="1"/>
  <c r="W224" i="7" s="1"/>
  <c r="S138" i="7"/>
  <c r="S112" i="7"/>
  <c r="S12" i="7"/>
  <c r="S134" i="7"/>
  <c r="S10" i="7"/>
  <c r="W138" i="7"/>
  <c r="W128" i="7"/>
  <c r="R145" i="7"/>
  <c r="T145" i="7" s="1"/>
  <c r="S20" i="7"/>
  <c r="AA15" i="7"/>
  <c r="S19" i="7"/>
  <c r="S28" i="7"/>
  <c r="Z90" i="7"/>
  <c r="S115" i="7"/>
  <c r="U172" i="7"/>
  <c r="S168" i="7"/>
  <c r="R188" i="7"/>
  <c r="T188" i="7" s="1"/>
  <c r="R252" i="7"/>
  <c r="T252" i="7" s="1"/>
  <c r="V252" i="7" s="1"/>
  <c r="W120" i="7"/>
  <c r="V120" i="7"/>
  <c r="V129" i="7"/>
  <c r="W129" i="7"/>
  <c r="V117" i="7"/>
  <c r="W117" i="7"/>
  <c r="U169" i="7"/>
  <c r="X169" i="7" s="1"/>
  <c r="S169" i="7"/>
  <c r="W183" i="7"/>
  <c r="V183" i="7"/>
  <c r="S23" i="7"/>
  <c r="R7" i="7"/>
  <c r="S7" i="7"/>
  <c r="R179" i="7"/>
  <c r="T179" i="7" s="1"/>
  <c r="V179" i="7" s="1"/>
  <c r="S179" i="7"/>
  <c r="V192" i="7"/>
  <c r="U189" i="7"/>
  <c r="R189" i="7"/>
  <c r="T189" i="7" s="1"/>
  <c r="S141" i="7"/>
  <c r="S17" i="7"/>
  <c r="W113" i="7"/>
  <c r="R13" i="7"/>
  <c r="S13" i="7"/>
  <c r="R21" i="7"/>
  <c r="S21" i="7"/>
  <c r="S132" i="7"/>
  <c r="R132" i="7"/>
  <c r="T132" i="7" s="1"/>
  <c r="U175" i="7"/>
  <c r="S175" i="7"/>
  <c r="R171" i="7"/>
  <c r="T171" i="7" s="1"/>
  <c r="W171" i="7" s="1"/>
  <c r="S171" i="7"/>
  <c r="V186" i="7"/>
  <c r="W186" i="7"/>
  <c r="S196" i="7"/>
  <c r="R196" i="7"/>
  <c r="T196" i="7" s="1"/>
  <c r="R24" i="7"/>
  <c r="S24" i="7"/>
  <c r="S139" i="7"/>
  <c r="V159" i="7"/>
  <c r="R194" i="7"/>
  <c r="T194" i="7" s="1"/>
  <c r="U194" i="7"/>
  <c r="R187" i="7"/>
  <c r="T187" i="7" s="1"/>
  <c r="U187" i="7"/>
  <c r="X188" i="7" s="1"/>
  <c r="S187" i="7"/>
  <c r="W184" i="7"/>
  <c r="V184" i="7"/>
  <c r="S5" i="7"/>
  <c r="X163" i="7"/>
  <c r="S180" i="7"/>
  <c r="R195" i="7"/>
  <c r="T195" i="7" s="1"/>
  <c r="R193" i="7"/>
  <c r="T193" i="7" s="1"/>
  <c r="S199" i="7"/>
  <c r="S195" i="7"/>
  <c r="R228" i="7"/>
  <c r="T228" i="7" s="1"/>
  <c r="V228" i="7" s="1"/>
  <c r="R238" i="7"/>
  <c r="T238" i="7" s="1"/>
  <c r="W238" i="7" s="1"/>
  <c r="R256" i="7"/>
  <c r="T256" i="7" s="1"/>
  <c r="V256" i="7" s="1"/>
  <c r="R260" i="7"/>
  <c r="T260" i="7" s="1"/>
  <c r="V260" i="7" s="1"/>
  <c r="R271" i="7"/>
  <c r="T271" i="7" s="1"/>
  <c r="V271" i="7" s="1"/>
  <c r="S299" i="7"/>
  <c r="X155" i="7"/>
  <c r="S194" i="7"/>
  <c r="S190" i="7"/>
  <c r="R263" i="7"/>
  <c r="T263" i="7" s="1"/>
  <c r="W263" i="7" s="1"/>
  <c r="S271" i="7"/>
  <c r="S172" i="7"/>
  <c r="S197" i="7"/>
  <c r="S193" i="7"/>
  <c r="S189" i="7"/>
  <c r="R230" i="7"/>
  <c r="T230" i="7" s="1"/>
  <c r="W230" i="7" s="1"/>
  <c r="R226" i="7"/>
  <c r="T226" i="7" s="1"/>
  <c r="V226" i="7" s="1"/>
  <c r="R236" i="7"/>
  <c r="T236" i="7" s="1"/>
  <c r="W236" i="7" s="1"/>
  <c r="R269" i="7"/>
  <c r="T269" i="7" s="1"/>
  <c r="V269" i="7" s="1"/>
  <c r="S289" i="7"/>
  <c r="S295" i="7"/>
  <c r="S42" i="7"/>
  <c r="R42" i="7"/>
  <c r="R60" i="7"/>
  <c r="S60" i="7"/>
  <c r="R76" i="7"/>
  <c r="S76" i="7"/>
  <c r="S77" i="7"/>
  <c r="R77" i="7"/>
  <c r="S79" i="7"/>
  <c r="R79" i="7"/>
  <c r="R80" i="7"/>
  <c r="S80" i="7"/>
  <c r="R81" i="7"/>
  <c r="S81" i="7"/>
  <c r="R83" i="7"/>
  <c r="S83" i="7"/>
  <c r="S95" i="7"/>
  <c r="R95" i="7"/>
  <c r="S96" i="7"/>
  <c r="R96" i="7"/>
  <c r="R26" i="7"/>
  <c r="S26" i="7"/>
  <c r="R27" i="7"/>
  <c r="S27" i="7"/>
  <c r="S51" i="7"/>
  <c r="R51" i="7"/>
  <c r="S52" i="7"/>
  <c r="R52" i="7"/>
  <c r="S63" i="7"/>
  <c r="R63" i="7"/>
  <c r="S84" i="7"/>
  <c r="R84" i="7"/>
  <c r="R87" i="7"/>
  <c r="S87" i="7"/>
  <c r="S88" i="7"/>
  <c r="R88" i="7"/>
  <c r="R98" i="7"/>
  <c r="S98" i="7"/>
  <c r="S107" i="7"/>
  <c r="W116" i="7"/>
  <c r="V116" i="7"/>
  <c r="R30" i="7"/>
  <c r="S30" i="7"/>
  <c r="R53" i="7"/>
  <c r="S53" i="7"/>
  <c r="S106" i="7"/>
  <c r="R106" i="7"/>
  <c r="R108" i="7"/>
  <c r="S108" i="7"/>
  <c r="V111" i="7"/>
  <c r="W111" i="7"/>
  <c r="V112" i="7"/>
  <c r="W112" i="7"/>
  <c r="R55" i="7"/>
  <c r="S55" i="7"/>
  <c r="R56" i="7"/>
  <c r="S56" i="7"/>
  <c r="R59" i="7"/>
  <c r="S59" i="7"/>
  <c r="R72" i="7"/>
  <c r="S72" i="7"/>
  <c r="R73" i="7"/>
  <c r="S73" i="7"/>
  <c r="S74" i="7"/>
  <c r="R74" i="7"/>
  <c r="R101" i="7"/>
  <c r="S101" i="7"/>
  <c r="W119" i="7"/>
  <c r="V119" i="7"/>
  <c r="V168" i="7"/>
  <c r="W168" i="7"/>
  <c r="W173" i="7"/>
  <c r="V173" i="7"/>
  <c r="R149" i="7"/>
  <c r="T149" i="7" s="1"/>
  <c r="S149" i="7"/>
  <c r="S153" i="7"/>
  <c r="R153" i="7"/>
  <c r="T153" i="7" s="1"/>
  <c r="R157" i="7"/>
  <c r="T157" i="7" s="1"/>
  <c r="S157" i="7"/>
  <c r="W160" i="7"/>
  <c r="V160" i="7"/>
  <c r="R162" i="7"/>
  <c r="T162" i="7" s="1"/>
  <c r="S162" i="7"/>
  <c r="S170" i="7"/>
  <c r="R170" i="7"/>
  <c r="T170" i="7" s="1"/>
  <c r="S181" i="7"/>
  <c r="R181" i="7"/>
  <c r="T181" i="7" s="1"/>
  <c r="W175" i="7"/>
  <c r="V175" i="7"/>
  <c r="W172" i="7"/>
  <c r="V172" i="7"/>
  <c r="S146" i="7"/>
  <c r="R146" i="7"/>
  <c r="T146" i="7" s="1"/>
  <c r="S150" i="7"/>
  <c r="R150" i="7"/>
  <c r="T150" i="7" s="1"/>
  <c r="S154" i="7"/>
  <c r="R154" i="7"/>
  <c r="T154" i="7" s="1"/>
  <c r="R158" i="7"/>
  <c r="T158" i="7" s="1"/>
  <c r="S158" i="7"/>
  <c r="R163" i="7"/>
  <c r="T163" i="7" s="1"/>
  <c r="S163" i="7"/>
  <c r="V169" i="7"/>
  <c r="W169" i="7"/>
  <c r="W179" i="7"/>
  <c r="R147" i="7"/>
  <c r="T147" i="7" s="1"/>
  <c r="S147" i="7"/>
  <c r="S151" i="7"/>
  <c r="R151" i="7"/>
  <c r="T151" i="7" s="1"/>
  <c r="S155" i="7"/>
  <c r="R155" i="7"/>
  <c r="T155" i="7" s="1"/>
  <c r="R164" i="7"/>
  <c r="T164" i="7" s="1"/>
  <c r="S164" i="7"/>
  <c r="R167" i="7"/>
  <c r="T167" i="7" s="1"/>
  <c r="S167" i="7"/>
  <c r="S174" i="7"/>
  <c r="R174" i="7"/>
  <c r="T174" i="7" s="1"/>
  <c r="W180" i="7"/>
  <c r="V180" i="7"/>
  <c r="S178" i="7"/>
  <c r="R178" i="7"/>
  <c r="T178" i="7" s="1"/>
  <c r="R148" i="7"/>
  <c r="T148" i="7" s="1"/>
  <c r="S148" i="7"/>
  <c r="R152" i="7"/>
  <c r="T152" i="7" s="1"/>
  <c r="S152" i="7"/>
  <c r="R156" i="7"/>
  <c r="T156" i="7" s="1"/>
  <c r="S156" i="7"/>
  <c r="S161" i="7"/>
  <c r="R161" i="7"/>
  <c r="T161" i="7" s="1"/>
  <c r="R165" i="7"/>
  <c r="T165" i="7" s="1"/>
  <c r="S165" i="7"/>
  <c r="R176" i="7"/>
  <c r="T176" i="7" s="1"/>
  <c r="S176" i="7"/>
  <c r="R143" i="7"/>
  <c r="T143" i="7" s="1"/>
  <c r="U143" i="7"/>
  <c r="X145" i="7" s="1"/>
  <c r="R191" i="7"/>
  <c r="T191" i="7" s="1"/>
  <c r="S191" i="7"/>
  <c r="R199" i="7"/>
  <c r="T199" i="7" s="1"/>
  <c r="S214" i="7"/>
  <c r="R246" i="7"/>
  <c r="T246" i="7" s="1"/>
  <c r="V246" i="7" s="1"/>
  <c r="R267" i="7"/>
  <c r="T267" i="7" s="1"/>
  <c r="V267" i="7" s="1"/>
  <c r="R272" i="7"/>
  <c r="T272" i="7" s="1"/>
  <c r="V272" i="7" s="1"/>
  <c r="S277" i="7"/>
  <c r="R282" i="7"/>
  <c r="T282" i="7" s="1"/>
  <c r="V282" i="7" s="1"/>
  <c r="R300" i="7"/>
  <c r="T300" i="7" s="1"/>
  <c r="W300" i="7" s="1"/>
  <c r="R296" i="7"/>
  <c r="T296" i="7" s="1"/>
  <c r="W296" i="7" s="1"/>
  <c r="R303" i="7"/>
  <c r="T303" i="7" s="1"/>
  <c r="V303" i="7" s="1"/>
  <c r="R310" i="7"/>
  <c r="T310" i="7" s="1"/>
  <c r="W310" i="7" s="1"/>
  <c r="S309" i="7"/>
  <c r="R314" i="7"/>
  <c r="T314" i="7" s="1"/>
  <c r="W314" i="7" s="1"/>
  <c r="S313" i="7"/>
  <c r="R315" i="7"/>
  <c r="T315" i="7" s="1"/>
  <c r="W315" i="7" s="1"/>
  <c r="R325" i="7"/>
  <c r="T325" i="7" s="1"/>
  <c r="V325" i="7" s="1"/>
  <c r="R332" i="7"/>
  <c r="T332" i="7" s="1"/>
  <c r="V332" i="7" s="1"/>
  <c r="R338" i="7"/>
  <c r="T338" i="7" s="1"/>
  <c r="W338" i="7" s="1"/>
  <c r="R341" i="7"/>
  <c r="T341" i="7" s="1"/>
  <c r="W341" i="7" s="1"/>
  <c r="R360" i="7"/>
  <c r="T360" i="7" s="1"/>
  <c r="V360" i="7" s="1"/>
  <c r="R363" i="7"/>
  <c r="T363" i="7" s="1"/>
  <c r="V363" i="7" s="1"/>
  <c r="S198" i="7"/>
  <c r="R198" i="7"/>
  <c r="T198" i="7" s="1"/>
  <c r="R215" i="7"/>
  <c r="T215" i="7" s="1"/>
  <c r="W215" i="7" s="1"/>
  <c r="R209" i="7"/>
  <c r="T209" i="7" s="1"/>
  <c r="W209" i="7" s="1"/>
  <c r="R205" i="7"/>
  <c r="T205" i="7" s="1"/>
  <c r="W205" i="7" s="1"/>
  <c r="R229" i="7"/>
  <c r="T229" i="7" s="1"/>
  <c r="W229" i="7" s="1"/>
  <c r="R239" i="7"/>
  <c r="T239" i="7" s="1"/>
  <c r="W239" i="7" s="1"/>
  <c r="R235" i="7"/>
  <c r="T235" i="7" s="1"/>
  <c r="V235" i="7" s="1"/>
  <c r="R247" i="7"/>
  <c r="T247" i="7" s="1"/>
  <c r="V247" i="7" s="1"/>
  <c r="R243" i="7"/>
  <c r="T243" i="7" s="1"/>
  <c r="W243" i="7" s="1"/>
  <c r="S248" i="7"/>
  <c r="R253" i="7"/>
  <c r="T253" i="7" s="1"/>
  <c r="V253" i="7" s="1"/>
  <c r="R254" i="7"/>
  <c r="T254" i="7" s="1"/>
  <c r="V254" i="7" s="1"/>
  <c r="R266" i="7"/>
  <c r="T266" i="7" s="1"/>
  <c r="V266" i="7" s="1"/>
  <c r="S267" i="7"/>
  <c r="R281" i="7"/>
  <c r="T281" i="7" s="1"/>
  <c r="V281" i="7" s="1"/>
  <c r="R285" i="7"/>
  <c r="T285" i="7" s="1"/>
  <c r="V285" i="7" s="1"/>
  <c r="R290" i="7"/>
  <c r="T290" i="7" s="1"/>
  <c r="W290" i="7" s="1"/>
  <c r="R293" i="7"/>
  <c r="T293" i="7" s="1"/>
  <c r="W293" i="7" s="1"/>
  <c r="R301" i="7"/>
  <c r="T301" i="7" s="1"/>
  <c r="W301" i="7" s="1"/>
  <c r="R297" i="7"/>
  <c r="T297" i="7" s="1"/>
  <c r="W297" i="7" s="1"/>
  <c r="R304" i="7"/>
  <c r="T304" i="7" s="1"/>
  <c r="W304" i="7" s="1"/>
  <c r="R311" i="7"/>
  <c r="T311" i="7" s="1"/>
  <c r="W311" i="7" s="1"/>
  <c r="R312" i="7"/>
  <c r="T312" i="7" s="1"/>
  <c r="W312" i="7" s="1"/>
  <c r="S314" i="7"/>
  <c r="R316" i="7"/>
  <c r="T316" i="7" s="1"/>
  <c r="V316" i="7" s="1"/>
  <c r="R321" i="7"/>
  <c r="T321" i="7" s="1"/>
  <c r="V321" i="7" s="1"/>
  <c r="R326" i="7"/>
  <c r="T326" i="7" s="1"/>
  <c r="W326" i="7" s="1"/>
  <c r="R328" i="7"/>
  <c r="T328" i="7" s="1"/>
  <c r="W328" i="7" s="1"/>
  <c r="R333" i="7"/>
  <c r="T333" i="7" s="1"/>
  <c r="W333" i="7" s="1"/>
  <c r="R329" i="7"/>
  <c r="T329" i="7" s="1"/>
  <c r="W329" i="7" s="1"/>
  <c r="S338" i="7"/>
  <c r="R342" i="7"/>
  <c r="T342" i="7" s="1"/>
  <c r="W342" i="7" s="1"/>
  <c r="S345" i="7"/>
  <c r="R348" i="7"/>
  <c r="T348" i="7" s="1"/>
  <c r="V348" i="7" s="1"/>
  <c r="R353" i="7"/>
  <c r="T353" i="7" s="1"/>
  <c r="V353" i="7" s="1"/>
  <c r="R354" i="7"/>
  <c r="T354" i="7" s="1"/>
  <c r="V354" i="7" s="1"/>
  <c r="R361" i="7"/>
  <c r="T361" i="7" s="1"/>
  <c r="W361" i="7" s="1"/>
  <c r="R219" i="7"/>
  <c r="T219" i="7" s="1"/>
  <c r="W219" i="7" s="1"/>
  <c r="R225" i="7"/>
  <c r="T225" i="7" s="1"/>
  <c r="W225" i="7" s="1"/>
  <c r="R244" i="7"/>
  <c r="T244" i="7" s="1"/>
  <c r="V244" i="7" s="1"/>
  <c r="R255" i="7"/>
  <c r="T255" i="7" s="1"/>
  <c r="W255" i="7" s="1"/>
  <c r="R262" i="7"/>
  <c r="T262" i="7" s="1"/>
  <c r="W262" i="7" s="1"/>
  <c r="R258" i="7"/>
  <c r="T258" i="7" s="1"/>
  <c r="V258" i="7" s="1"/>
  <c r="R270" i="7"/>
  <c r="T270" i="7" s="1"/>
  <c r="W270" i="7" s="1"/>
  <c r="S279" i="7"/>
  <c r="S285" i="7"/>
  <c r="S290" i="7"/>
  <c r="R292" i="7"/>
  <c r="T292" i="7" s="1"/>
  <c r="V292" i="7" s="1"/>
  <c r="R298" i="7"/>
  <c r="T298" i="7" s="1"/>
  <c r="W298" i="7" s="1"/>
  <c r="R305" i="7"/>
  <c r="T305" i="7" s="1"/>
  <c r="V305" i="7" s="1"/>
  <c r="S311" i="7"/>
  <c r="R308" i="7"/>
  <c r="T308" i="7" s="1"/>
  <c r="V308" i="7" s="1"/>
  <c r="R317" i="7"/>
  <c r="T317" i="7" s="1"/>
  <c r="W317" i="7" s="1"/>
  <c r="R319" i="7"/>
  <c r="T319" i="7" s="1"/>
  <c r="V319" i="7" s="1"/>
  <c r="R327" i="7"/>
  <c r="T327" i="7" s="1"/>
  <c r="V327" i="7" s="1"/>
  <c r="R323" i="7"/>
  <c r="T323" i="7" s="1"/>
  <c r="W323" i="7" s="1"/>
  <c r="S328" i="7"/>
  <c r="R334" i="7"/>
  <c r="T334" i="7" s="1"/>
  <c r="V334" i="7" s="1"/>
  <c r="R330" i="7"/>
  <c r="T330" i="7" s="1"/>
  <c r="V330" i="7" s="1"/>
  <c r="R336" i="7"/>
  <c r="T336" i="7" s="1"/>
  <c r="W336" i="7" s="1"/>
  <c r="R343" i="7"/>
  <c r="T343" i="7" s="1"/>
  <c r="W343" i="7" s="1"/>
  <c r="R339" i="7"/>
  <c r="T339" i="7" s="1"/>
  <c r="V339" i="7" s="1"/>
  <c r="S346" i="7"/>
  <c r="S348" i="7"/>
  <c r="R355" i="7"/>
  <c r="T355" i="7" s="1"/>
  <c r="W355" i="7" s="1"/>
  <c r="R357" i="7"/>
  <c r="T357" i="7" s="1"/>
  <c r="W357" i="7" s="1"/>
  <c r="R362" i="7"/>
  <c r="T362" i="7" s="1"/>
  <c r="W362" i="7" s="1"/>
  <c r="R214" i="7"/>
  <c r="T214" i="7" s="1"/>
  <c r="V214" i="7" s="1"/>
  <c r="R204" i="7"/>
  <c r="T204" i="7" s="1"/>
  <c r="V204" i="7" s="1"/>
  <c r="S222" i="7"/>
  <c r="R231" i="7"/>
  <c r="T231" i="7" s="1"/>
  <c r="W231" i="7" s="1"/>
  <c r="R227" i="7"/>
  <c r="T227" i="7" s="1"/>
  <c r="W227" i="7" s="1"/>
  <c r="S225" i="7"/>
  <c r="R237" i="7"/>
  <c r="T237" i="7" s="1"/>
  <c r="V237" i="7" s="1"/>
  <c r="R233" i="7"/>
  <c r="T233" i="7" s="1"/>
  <c r="W233" i="7" s="1"/>
  <c r="R241" i="7"/>
  <c r="T241" i="7" s="1"/>
  <c r="V241" i="7" s="1"/>
  <c r="S237" i="7"/>
  <c r="R245" i="7"/>
  <c r="T245" i="7" s="1"/>
  <c r="V245" i="7" s="1"/>
  <c r="R265" i="7"/>
  <c r="T265" i="7" s="1"/>
  <c r="V265" i="7" s="1"/>
  <c r="R268" i="7"/>
  <c r="T268" i="7" s="1"/>
  <c r="V268" i="7" s="1"/>
  <c r="S270" i="7"/>
  <c r="R277" i="7"/>
  <c r="T277" i="7" s="1"/>
  <c r="W277" i="7" s="1"/>
  <c r="R291" i="7"/>
  <c r="T291" i="7" s="1"/>
  <c r="V291" i="7" s="1"/>
  <c r="S292" i="7"/>
  <c r="R299" i="7"/>
  <c r="T299" i="7" s="1"/>
  <c r="W299" i="7" s="1"/>
  <c r="R295" i="7"/>
  <c r="T295" i="7" s="1"/>
  <c r="V295" i="7" s="1"/>
  <c r="R306" i="7"/>
  <c r="T306" i="7" s="1"/>
  <c r="W306" i="7" s="1"/>
  <c r="R302" i="7"/>
  <c r="T302" i="7" s="1"/>
  <c r="V302" i="7" s="1"/>
  <c r="R309" i="7"/>
  <c r="T309" i="7" s="1"/>
  <c r="W309" i="7" s="1"/>
  <c r="S308" i="7"/>
  <c r="R313" i="7"/>
  <c r="T313" i="7" s="1"/>
  <c r="W313" i="7" s="1"/>
  <c r="R318" i="7"/>
  <c r="T318" i="7" s="1"/>
  <c r="W318" i="7" s="1"/>
  <c r="R320" i="7"/>
  <c r="T320" i="7" s="1"/>
  <c r="V320" i="7" s="1"/>
  <c r="S319" i="7"/>
  <c r="R331" i="7"/>
  <c r="T331" i="7" s="1"/>
  <c r="W331" i="7" s="1"/>
  <c r="R337" i="7"/>
  <c r="T337" i="7" s="1"/>
  <c r="V337" i="7" s="1"/>
  <c r="R340" i="7"/>
  <c r="T340" i="7" s="1"/>
  <c r="W340" i="7" s="1"/>
  <c r="R356" i="7"/>
  <c r="T356" i="7" s="1"/>
  <c r="V356" i="7" s="1"/>
  <c r="R358" i="7"/>
  <c r="T358" i="7" s="1"/>
  <c r="W358" i="7" s="1"/>
  <c r="R359" i="7"/>
  <c r="T359" i="7" s="1"/>
  <c r="V359" i="7" s="1"/>
  <c r="S362" i="7"/>
  <c r="W364" i="7"/>
  <c r="AA370" i="7" s="1"/>
  <c r="V366" i="7"/>
  <c r="Z370" i="7" s="1"/>
  <c r="S254" i="7"/>
  <c r="R261" i="7"/>
  <c r="T261" i="7" s="1"/>
  <c r="W261" i="7" s="1"/>
  <c r="S317" i="7"/>
  <c r="S293" i="7"/>
  <c r="S236" i="7"/>
  <c r="S262" i="7"/>
  <c r="X370" i="7"/>
  <c r="Y370" i="7" s="1"/>
  <c r="R251" i="7"/>
  <c r="T251" i="7" s="1"/>
  <c r="W251" i="7" s="1"/>
  <c r="K358" i="7"/>
  <c r="L358" i="7" s="1"/>
  <c r="S358" i="7" s="1"/>
  <c r="S208" i="7"/>
  <c r="U208" i="7"/>
  <c r="S207" i="7"/>
  <c r="U207" i="7"/>
  <c r="S232" i="7"/>
  <c r="U248" i="7"/>
  <c r="R280" i="7"/>
  <c r="T280" i="7" s="1"/>
  <c r="W280" i="7" s="1"/>
  <c r="S331" i="7"/>
  <c r="U362" i="7"/>
  <c r="U237" i="7"/>
  <c r="W264" i="7"/>
  <c r="U289" i="7"/>
  <c r="R289" i="7"/>
  <c r="T289" i="7" s="1"/>
  <c r="W289" i="7" s="1"/>
  <c r="U203" i="7"/>
  <c r="R203" i="7"/>
  <c r="T203" i="7" s="1"/>
  <c r="W203" i="7" s="1"/>
  <c r="R206" i="7"/>
  <c r="T206" i="7" s="1"/>
  <c r="W206" i="7" s="1"/>
  <c r="R250" i="7"/>
  <c r="T250" i="7" s="1"/>
  <c r="V250" i="7" s="1"/>
  <c r="R200" i="7"/>
  <c r="T200" i="7" s="1"/>
  <c r="V200" i="7" s="1"/>
  <c r="R208" i="7"/>
  <c r="T208" i="7" s="1"/>
  <c r="V208" i="7" s="1"/>
  <c r="S261" i="7"/>
  <c r="R345" i="7"/>
  <c r="T345" i="7" s="1"/>
  <c r="V345" i="7" s="1"/>
  <c r="R222" i="7"/>
  <c r="T222" i="7" s="1"/>
  <c r="V222" i="7" s="1"/>
  <c r="R232" i="7"/>
  <c r="T232" i="7" s="1"/>
  <c r="W232" i="7" s="1"/>
  <c r="U234" i="7"/>
  <c r="U267" i="7"/>
  <c r="U308" i="7"/>
  <c r="R220" i="7"/>
  <c r="T220" i="7" s="1"/>
  <c r="S342" i="7"/>
  <c r="U342" i="7"/>
  <c r="S210" i="7"/>
  <c r="U210" i="7"/>
  <c r="R210" i="7"/>
  <c r="T210" i="7" s="1"/>
  <c r="W210" i="7" s="1"/>
  <c r="S268" i="7"/>
  <c r="U268" i="7"/>
  <c r="S323" i="7"/>
  <c r="U323" i="7"/>
  <c r="S217" i="7"/>
  <c r="U217" i="7"/>
  <c r="S347" i="7"/>
  <c r="R347" i="7"/>
  <c r="T347" i="7" s="1"/>
  <c r="S310" i="7"/>
  <c r="U310" i="7"/>
  <c r="S327" i="7"/>
  <c r="U327" i="7"/>
  <c r="S326" i="7"/>
  <c r="U326" i="7"/>
  <c r="S203" i="7"/>
  <c r="U235" i="7"/>
  <c r="S235" i="7"/>
  <c r="U246" i="7"/>
  <c r="S246" i="7"/>
  <c r="S252" i="7"/>
  <c r="S265" i="7"/>
  <c r="U265" i="7"/>
  <c r="U269" i="7"/>
  <c r="S269" i="7"/>
  <c r="U311" i="7"/>
  <c r="U312" i="7"/>
  <c r="S312" i="7"/>
  <c r="U316" i="7"/>
  <c r="S316" i="7"/>
  <c r="S321" i="7"/>
  <c r="U321" i="7"/>
  <c r="R335" i="7"/>
  <c r="T335" i="7" s="1"/>
  <c r="S351" i="7"/>
  <c r="R351" i="7"/>
  <c r="T351" i="7" s="1"/>
  <c r="V351" i="7" s="1"/>
  <c r="S356" i="7"/>
  <c r="S352" i="7"/>
  <c r="U352" i="7"/>
  <c r="U361" i="7"/>
  <c r="S361" i="7"/>
  <c r="U360" i="7"/>
  <c r="S360" i="7"/>
  <c r="S209" i="7"/>
  <c r="R217" i="7"/>
  <c r="T217" i="7" s="1"/>
  <c r="V217" i="7" s="1"/>
  <c r="S229" i="7"/>
  <c r="R249" i="7"/>
  <c r="T249" i="7" s="1"/>
  <c r="S245" i="7"/>
  <c r="U245" i="7"/>
  <c r="S251" i="7"/>
  <c r="U251" i="7"/>
  <c r="S256" i="7"/>
  <c r="U256" i="7"/>
  <c r="U270" i="7"/>
  <c r="U275" i="7"/>
  <c r="S275" i="7"/>
  <c r="R276" i="7"/>
  <c r="T276" i="7" s="1"/>
  <c r="W276" i="7" s="1"/>
  <c r="U276" i="7"/>
  <c r="U277" i="7"/>
  <c r="S284" i="7"/>
  <c r="U284" i="7"/>
  <c r="S320" i="7"/>
  <c r="U328" i="7"/>
  <c r="S329" i="7"/>
  <c r="U329" i="7"/>
  <c r="S335" i="7"/>
  <c r="U338" i="7"/>
  <c r="U250" i="7"/>
  <c r="S250" i="7"/>
  <c r="S220" i="7"/>
  <c r="U220" i="7"/>
  <c r="U214" i="7"/>
  <c r="U222" i="7"/>
  <c r="S228" i="7"/>
  <c r="U228" i="7"/>
  <c r="U225" i="7"/>
  <c r="S239" i="7"/>
  <c r="U285" i="7"/>
  <c r="U292" i="7"/>
  <c r="U297" i="7"/>
  <c r="S297" i="7"/>
  <c r="U332" i="7"/>
  <c r="S332" i="7"/>
  <c r="R346" i="7"/>
  <c r="T346" i="7" s="1"/>
  <c r="U345" i="7"/>
  <c r="U348" i="7"/>
  <c r="S359" i="7"/>
  <c r="U359" i="7"/>
  <c r="U271" i="7"/>
  <c r="S301" i="7"/>
  <c r="R207" i="7"/>
  <c r="T207" i="7" s="1"/>
  <c r="W207" i="7" s="1"/>
  <c r="R352" i="7"/>
  <c r="T352" i="7" s="1"/>
  <c r="V352" i="7" s="1"/>
  <c r="S218" i="7"/>
  <c r="U218" i="7"/>
  <c r="S278" i="7"/>
  <c r="U278" i="7"/>
  <c r="R278" i="7"/>
  <c r="T278" i="7" s="1"/>
  <c r="U216" i="7"/>
  <c r="R216" i="7"/>
  <c r="T216" i="7" s="1"/>
  <c r="S216" i="7"/>
  <c r="S213" i="7"/>
  <c r="U213" i="7"/>
  <c r="R213" i="7"/>
  <c r="T213" i="7" s="1"/>
  <c r="U211" i="7"/>
  <c r="R211" i="7"/>
  <c r="T211" i="7" s="1"/>
  <c r="S206" i="7"/>
  <c r="U206" i="7"/>
  <c r="U238" i="7"/>
  <c r="S238" i="7"/>
  <c r="U233" i="7"/>
  <c r="S233" i="7"/>
  <c r="S240" i="7"/>
  <c r="R240" i="7"/>
  <c r="T240" i="7" s="1"/>
  <c r="S244" i="7"/>
  <c r="S283" i="7"/>
  <c r="U283" i="7"/>
  <c r="U202" i="7"/>
  <c r="S202" i="7"/>
  <c r="R202" i="7"/>
  <c r="T202" i="7" s="1"/>
  <c r="S201" i="7"/>
  <c r="U201" i="7"/>
  <c r="R201" i="7"/>
  <c r="T201" i="7" s="1"/>
  <c r="S211" i="7"/>
  <c r="S204" i="7"/>
  <c r="U204" i="7"/>
  <c r="R221" i="7"/>
  <c r="T221" i="7" s="1"/>
  <c r="U221" i="7"/>
  <c r="S221" i="7"/>
  <c r="S227" i="7"/>
  <c r="S230" i="7"/>
  <c r="U230" i="7"/>
  <c r="U240" i="7"/>
  <c r="U241" i="7"/>
  <c r="S241" i="7"/>
  <c r="U257" i="7"/>
  <c r="S257" i="7"/>
  <c r="R257" i="7"/>
  <c r="T257" i="7" s="1"/>
  <c r="S266" i="7"/>
  <c r="U274" i="7"/>
  <c r="S274" i="7"/>
  <c r="R274" i="7"/>
  <c r="T274" i="7" s="1"/>
  <c r="U280" i="7"/>
  <c r="S280" i="7"/>
  <c r="S205" i="7"/>
  <c r="U205" i="7"/>
  <c r="U223" i="7"/>
  <c r="R223" i="7"/>
  <c r="T223" i="7" s="1"/>
  <c r="S223" i="7"/>
  <c r="S219" i="7"/>
  <c r="U219" i="7"/>
  <c r="R218" i="7"/>
  <c r="T218" i="7" s="1"/>
  <c r="U200" i="7"/>
  <c r="S200" i="7"/>
  <c r="S215" i="7"/>
  <c r="U215" i="7"/>
  <c r="R212" i="7"/>
  <c r="T212" i="7" s="1"/>
  <c r="U212" i="7"/>
  <c r="S212" i="7"/>
  <c r="S231" i="7"/>
  <c r="S226" i="7"/>
  <c r="U226" i="7"/>
  <c r="S224" i="7"/>
  <c r="U224" i="7"/>
  <c r="S243" i="7"/>
  <c r="U243" i="7"/>
  <c r="U255" i="7"/>
  <c r="S255" i="7"/>
  <c r="S260" i="7"/>
  <c r="U260" i="7"/>
  <c r="S259" i="7"/>
  <c r="U259" i="7"/>
  <c r="R259" i="7"/>
  <c r="T259" i="7" s="1"/>
  <c r="U282" i="7"/>
  <c r="S282" i="7"/>
  <c r="S288" i="7"/>
  <c r="U288" i="7"/>
  <c r="R287" i="7"/>
  <c r="T287" i="7" s="1"/>
  <c r="U300" i="7"/>
  <c r="S300" i="7"/>
  <c r="U315" i="7"/>
  <c r="S315" i="7"/>
  <c r="S343" i="7"/>
  <c r="U343" i="7"/>
  <c r="U242" i="7"/>
  <c r="S242" i="7"/>
  <c r="U253" i="7"/>
  <c r="S253" i="7"/>
  <c r="R275" i="7"/>
  <c r="T275" i="7" s="1"/>
  <c r="U281" i="7"/>
  <c r="S281" i="7"/>
  <c r="R286" i="7"/>
  <c r="T286" i="7" s="1"/>
  <c r="U286" i="7"/>
  <c r="U296" i="7"/>
  <c r="S296" i="7"/>
  <c r="S306" i="7"/>
  <c r="U303" i="7"/>
  <c r="S303" i="7"/>
  <c r="R349" i="7"/>
  <c r="T349" i="7" s="1"/>
  <c r="S249" i="7"/>
  <c r="S247" i="7"/>
  <c r="U247" i="7"/>
  <c r="R248" i="7"/>
  <c r="T248" i="7" s="1"/>
  <c r="S263" i="7"/>
  <c r="S258" i="7"/>
  <c r="U258" i="7"/>
  <c r="S264" i="7"/>
  <c r="U264" i="7"/>
  <c r="S286" i="7"/>
  <c r="S291" i="7"/>
  <c r="U291" i="7"/>
  <c r="U324" i="7"/>
  <c r="S324" i="7"/>
  <c r="R324" i="7"/>
  <c r="T324" i="7" s="1"/>
  <c r="S334" i="7"/>
  <c r="U334" i="7"/>
  <c r="S333" i="7"/>
  <c r="U333" i="7"/>
  <c r="S287" i="7"/>
  <c r="U287" i="7"/>
  <c r="U336" i="7"/>
  <c r="S336" i="7"/>
  <c r="U349" i="7"/>
  <c r="S349" i="7"/>
  <c r="V264" i="7"/>
  <c r="U272" i="7"/>
  <c r="S272" i="7"/>
  <c r="R273" i="7"/>
  <c r="T273" i="7" s="1"/>
  <c r="S273" i="7"/>
  <c r="U273" i="7"/>
  <c r="S276" i="7"/>
  <c r="U279" i="7"/>
  <c r="R279" i="7"/>
  <c r="T279" i="7" s="1"/>
  <c r="R284" i="7"/>
  <c r="T284" i="7" s="1"/>
  <c r="R288" i="7"/>
  <c r="T288" i="7" s="1"/>
  <c r="U290" i="7"/>
  <c r="U298" i="7"/>
  <c r="S298" i="7"/>
  <c r="U305" i="7"/>
  <c r="S305" i="7"/>
  <c r="U313" i="7"/>
  <c r="U325" i="7"/>
  <c r="S325" i="7"/>
  <c r="R283" i="7"/>
  <c r="T283" i="7" s="1"/>
  <c r="U299" i="7"/>
  <c r="U295" i="7"/>
  <c r="U309" i="7"/>
  <c r="U319" i="7"/>
  <c r="U330" i="7"/>
  <c r="S330" i="7"/>
  <c r="U350" i="7"/>
  <c r="R350" i="7"/>
  <c r="T350" i="7" s="1"/>
  <c r="S350" i="7"/>
  <c r="S304" i="7"/>
  <c r="U304" i="7"/>
  <c r="S302" i="7"/>
  <c r="U302" i="7"/>
  <c r="U318" i="7"/>
  <c r="S318" i="7"/>
  <c r="U339" i="7"/>
  <c r="S339" i="7"/>
  <c r="U355" i="7"/>
  <c r="S355" i="7"/>
  <c r="U314" i="7"/>
  <c r="S337" i="7"/>
  <c r="U337" i="7"/>
  <c r="U340" i="7"/>
  <c r="S340" i="7"/>
  <c r="U353" i="7"/>
  <c r="S353" i="7"/>
  <c r="U357" i="7"/>
  <c r="S357" i="7"/>
  <c r="S341" i="7"/>
  <c r="U341" i="7"/>
  <c r="U344" i="7"/>
  <c r="S344" i="7"/>
  <c r="R344" i="7"/>
  <c r="T344" i="7" s="1"/>
  <c r="U354" i="7"/>
  <c r="S354" i="7"/>
  <c r="U363" i="7"/>
  <c r="S363" i="7"/>
  <c r="U347" i="7"/>
  <c r="U346" i="7"/>
  <c r="X196" i="7" l="1"/>
  <c r="W185" i="7"/>
  <c r="V224" i="7"/>
  <c r="X125" i="7"/>
  <c r="Y125" i="7" s="1"/>
  <c r="Z138" i="7"/>
  <c r="AA2" i="8"/>
  <c r="W242" i="7"/>
  <c r="V126" i="7"/>
  <c r="W252" i="7"/>
  <c r="V236" i="7"/>
  <c r="V166" i="7"/>
  <c r="AA138" i="7"/>
  <c r="Y188" i="7"/>
  <c r="V118" i="7"/>
  <c r="W190" i="7"/>
  <c r="X177" i="7"/>
  <c r="Y177" i="7" s="1"/>
  <c r="Y131" i="7"/>
  <c r="V197" i="7"/>
  <c r="Z27" i="8"/>
  <c r="Z28" i="8"/>
  <c r="Z29" i="8"/>
  <c r="V182" i="7"/>
  <c r="Z4" i="8"/>
  <c r="AA4" i="8" s="1"/>
  <c r="W234" i="7"/>
  <c r="Z3" i="8"/>
  <c r="AA3" i="8" s="1"/>
  <c r="X119" i="7"/>
  <c r="Y119" i="7" s="1"/>
  <c r="Z113" i="7"/>
  <c r="W325" i="7"/>
  <c r="W226" i="7"/>
  <c r="W271" i="7"/>
  <c r="Y145" i="7"/>
  <c r="V114" i="7"/>
  <c r="W114" i="7"/>
  <c r="AA119" i="7" s="1"/>
  <c r="V130" i="7"/>
  <c r="W130" i="7"/>
  <c r="W131" i="7"/>
  <c r="V131" i="7"/>
  <c r="V124" i="7"/>
  <c r="Z125" i="7" s="1"/>
  <c r="W124" i="7"/>
  <c r="AA125" i="7" s="1"/>
  <c r="W188" i="7"/>
  <c r="V188" i="7"/>
  <c r="V177" i="7"/>
  <c r="W177" i="7"/>
  <c r="W145" i="7"/>
  <c r="V145" i="7"/>
  <c r="W228" i="7"/>
  <c r="V238" i="7"/>
  <c r="V263" i="7"/>
  <c r="W360" i="7"/>
  <c r="V315" i="7"/>
  <c r="W320" i="7"/>
  <c r="W260" i="7"/>
  <c r="V317" i="7"/>
  <c r="V230" i="7"/>
  <c r="V290" i="7"/>
  <c r="W266" i="7"/>
  <c r="V343" i="7"/>
  <c r="V215" i="7"/>
  <c r="V171" i="7"/>
  <c r="W193" i="7"/>
  <c r="V193" i="7"/>
  <c r="W194" i="7"/>
  <c r="V194" i="7"/>
  <c r="W196" i="7"/>
  <c r="V196" i="7"/>
  <c r="W348" i="7"/>
  <c r="W256" i="7"/>
  <c r="V219" i="7"/>
  <c r="W195" i="7"/>
  <c r="V195" i="7"/>
  <c r="W187" i="7"/>
  <c r="V187" i="7"/>
  <c r="W189" i="7"/>
  <c r="V189" i="7"/>
  <c r="W269" i="7"/>
  <c r="Y155" i="7"/>
  <c r="V132" i="7"/>
  <c r="W132" i="7"/>
  <c r="V310" i="7"/>
  <c r="V329" i="7"/>
  <c r="V255" i="7"/>
  <c r="W282" i="7"/>
  <c r="V277" i="7"/>
  <c r="W246" i="7"/>
  <c r="V355" i="7"/>
  <c r="V340" i="7"/>
  <c r="V361" i="7"/>
  <c r="W334" i="7"/>
  <c r="W356" i="7"/>
  <c r="W295" i="7"/>
  <c r="AA300" i="7" s="1"/>
  <c r="W245" i="7"/>
  <c r="V225" i="7"/>
  <c r="W319" i="7"/>
  <c r="W339" i="7"/>
  <c r="W353" i="7"/>
  <c r="V243" i="7"/>
  <c r="V298" i="7"/>
  <c r="W316" i="7"/>
  <c r="AA318" i="7" s="1"/>
  <c r="V304" i="7"/>
  <c r="V309" i="7"/>
  <c r="W267" i="7"/>
  <c r="V299" i="7"/>
  <c r="W305" i="7"/>
  <c r="W204" i="7"/>
  <c r="V341" i="7"/>
  <c r="V314" i="7"/>
  <c r="V231" i="7"/>
  <c r="W321" i="7"/>
  <c r="W291" i="7"/>
  <c r="V333" i="7"/>
  <c r="V229" i="7"/>
  <c r="V239" i="7"/>
  <c r="V357" i="7"/>
  <c r="V293" i="7"/>
  <c r="V311" i="7"/>
  <c r="V262" i="7"/>
  <c r="V300" i="7"/>
  <c r="V362" i="7"/>
  <c r="W281" i="7"/>
  <c r="W272" i="7"/>
  <c r="W327" i="7"/>
  <c r="V313" i="7"/>
  <c r="V358" i="7"/>
  <c r="W302" i="7"/>
  <c r="W332" i="7"/>
  <c r="V233" i="7"/>
  <c r="W363" i="7"/>
  <c r="V312" i="7"/>
  <c r="V209" i="7"/>
  <c r="V301" i="7"/>
  <c r="W265" i="7"/>
  <c r="V296" i="7"/>
  <c r="W330" i="7"/>
  <c r="V306" i="7"/>
  <c r="W258" i="7"/>
  <c r="W253" i="7"/>
  <c r="W235" i="7"/>
  <c r="V331" i="7"/>
  <c r="W268" i="7"/>
  <c r="V326" i="7"/>
  <c r="W237" i="7"/>
  <c r="W244" i="7"/>
  <c r="W303" i="7"/>
  <c r="V328" i="7"/>
  <c r="W241" i="7"/>
  <c r="W285" i="7"/>
  <c r="V227" i="7"/>
  <c r="V323" i="7"/>
  <c r="V318" i="7"/>
  <c r="V297" i="7"/>
  <c r="W247" i="7"/>
  <c r="W214" i="7"/>
  <c r="W308" i="7"/>
  <c r="AA312" i="7" s="1"/>
  <c r="V338" i="7"/>
  <c r="V205" i="7"/>
  <c r="W354" i="7"/>
  <c r="W359" i="7"/>
  <c r="V342" i="7"/>
  <c r="V270" i="7"/>
  <c r="W254" i="7"/>
  <c r="V336" i="7"/>
  <c r="W292" i="7"/>
  <c r="W337" i="7"/>
  <c r="W191" i="7"/>
  <c r="V191" i="7"/>
  <c r="V161" i="7"/>
  <c r="W161" i="7"/>
  <c r="V167" i="7"/>
  <c r="W167" i="7"/>
  <c r="W147" i="7"/>
  <c r="V147" i="7"/>
  <c r="W150" i="7"/>
  <c r="V150" i="7"/>
  <c r="Y169" i="7"/>
  <c r="W170" i="7"/>
  <c r="V170" i="7"/>
  <c r="W153" i="7"/>
  <c r="V153" i="7"/>
  <c r="W199" i="7"/>
  <c r="V199" i="7"/>
  <c r="V176" i="7"/>
  <c r="W176" i="7"/>
  <c r="V152" i="7"/>
  <c r="W152" i="7"/>
  <c r="V178" i="7"/>
  <c r="W178" i="7"/>
  <c r="Y182" i="7"/>
  <c r="V174" i="7"/>
  <c r="W174" i="7"/>
  <c r="W151" i="7"/>
  <c r="V151" i="7"/>
  <c r="W158" i="7"/>
  <c r="V158" i="7"/>
  <c r="Y196" i="7"/>
  <c r="W164" i="7"/>
  <c r="V164" i="7"/>
  <c r="V154" i="7"/>
  <c r="W154" i="7"/>
  <c r="V146" i="7"/>
  <c r="W146" i="7"/>
  <c r="W181" i="7"/>
  <c r="V181" i="7"/>
  <c r="W198" i="7"/>
  <c r="V198" i="7"/>
  <c r="W143" i="7"/>
  <c r="V143" i="7"/>
  <c r="V165" i="7"/>
  <c r="W165" i="7"/>
  <c r="V156" i="7"/>
  <c r="W156" i="7"/>
  <c r="V148" i="7"/>
  <c r="W148" i="7"/>
  <c r="W155" i="7"/>
  <c r="V155" i="7"/>
  <c r="W163" i="7"/>
  <c r="V163" i="7"/>
  <c r="Y163" i="7"/>
  <c r="W162" i="7"/>
  <c r="V162" i="7"/>
  <c r="V157" i="7"/>
  <c r="W157" i="7"/>
  <c r="V149" i="7"/>
  <c r="W149" i="7"/>
  <c r="AA113" i="7"/>
  <c r="V203" i="7"/>
  <c r="V289" i="7"/>
  <c r="W208" i="7"/>
  <c r="V261" i="7"/>
  <c r="V206" i="7"/>
  <c r="V232" i="7"/>
  <c r="W345" i="7"/>
  <c r="V210" i="7"/>
  <c r="W217" i="7"/>
  <c r="V276" i="7"/>
  <c r="W352" i="7"/>
  <c r="X203" i="7"/>
  <c r="Y203" i="7" s="1"/>
  <c r="X321" i="7"/>
  <c r="Y321" i="7" s="1"/>
  <c r="W222" i="7"/>
  <c r="Z321" i="7"/>
  <c r="W200" i="7"/>
  <c r="U358" i="7"/>
  <c r="X358" i="7" s="1"/>
  <c r="Y358" i="7" s="1"/>
  <c r="V251" i="7"/>
  <c r="W250" i="7"/>
  <c r="X312" i="7"/>
  <c r="Y312" i="7" s="1"/>
  <c r="X268" i="7"/>
  <c r="Y268" i="7" s="1"/>
  <c r="V280" i="7"/>
  <c r="X334" i="7"/>
  <c r="Y334" i="7" s="1"/>
  <c r="X273" i="7"/>
  <c r="Y273" i="7" s="1"/>
  <c r="X240" i="7"/>
  <c r="Y240" i="7" s="1"/>
  <c r="X363" i="7"/>
  <c r="Y363" i="7" s="1"/>
  <c r="X328" i="7"/>
  <c r="Y328" i="7" s="1"/>
  <c r="W220" i="7"/>
  <c r="V220" i="7"/>
  <c r="X300" i="7"/>
  <c r="Y300" i="7" s="1"/>
  <c r="X263" i="7"/>
  <c r="Y263" i="7" s="1"/>
  <c r="V207" i="7"/>
  <c r="X223" i="7"/>
  <c r="Y223" i="7" s="1"/>
  <c r="V346" i="7"/>
  <c r="W346" i="7"/>
  <c r="V249" i="7"/>
  <c r="W249" i="7"/>
  <c r="W335" i="7"/>
  <c r="V335" i="7"/>
  <c r="W351" i="7"/>
  <c r="X255" i="7"/>
  <c r="Y255" i="7" s="1"/>
  <c r="W347" i="7"/>
  <c r="V347" i="7"/>
  <c r="V288" i="7"/>
  <c r="W288" i="7"/>
  <c r="W287" i="7"/>
  <c r="V287" i="7"/>
  <c r="X351" i="7"/>
  <c r="Y351" i="7" s="1"/>
  <c r="V344" i="7"/>
  <c r="W344" i="7"/>
  <c r="W350" i="7"/>
  <c r="V350" i="7"/>
  <c r="V273" i="7"/>
  <c r="W273" i="7"/>
  <c r="V259" i="7"/>
  <c r="W259" i="7"/>
  <c r="X280" i="7"/>
  <c r="Y280" i="7" s="1"/>
  <c r="V211" i="7"/>
  <c r="W211" i="7"/>
  <c r="X306" i="7"/>
  <c r="Y306" i="7" s="1"/>
  <c r="W283" i="7"/>
  <c r="V283" i="7"/>
  <c r="Z268" i="7"/>
  <c r="X338" i="7"/>
  <c r="Y338" i="7" s="1"/>
  <c r="W275" i="7"/>
  <c r="V275" i="7"/>
  <c r="W218" i="7"/>
  <c r="V218" i="7"/>
  <c r="V223" i="7"/>
  <c r="W223" i="7"/>
  <c r="W201" i="7"/>
  <c r="V201" i="7"/>
  <c r="X217" i="7"/>
  <c r="Y217" i="7" s="1"/>
  <c r="V279" i="7"/>
  <c r="W279" i="7"/>
  <c r="V248" i="7"/>
  <c r="W248" i="7"/>
  <c r="X210" i="7"/>
  <c r="Y210" i="7" s="1"/>
  <c r="W284" i="7"/>
  <c r="V284" i="7"/>
  <c r="W349" i="7"/>
  <c r="V349" i="7"/>
  <c r="V286" i="7"/>
  <c r="W286" i="7"/>
  <c r="X231" i="7"/>
  <c r="Y231" i="7" s="1"/>
  <c r="W212" i="7"/>
  <c r="V212" i="7"/>
  <c r="X249" i="7"/>
  <c r="Y249" i="7" s="1"/>
  <c r="W202" i="7"/>
  <c r="V202" i="7"/>
  <c r="X344" i="7"/>
  <c r="Y344" i="7" s="1"/>
  <c r="X318" i="7"/>
  <c r="Y318" i="7" s="1"/>
  <c r="V324" i="7"/>
  <c r="W324" i="7"/>
  <c r="X287" i="7"/>
  <c r="Y287" i="7" s="1"/>
  <c r="X293" i="7"/>
  <c r="Y293" i="7" s="1"/>
  <c r="V274" i="7"/>
  <c r="W274" i="7"/>
  <c r="V257" i="7"/>
  <c r="W257" i="7"/>
  <c r="V221" i="7"/>
  <c r="W221" i="7"/>
  <c r="W240" i="7"/>
  <c r="V240" i="7"/>
  <c r="V213" i="7"/>
  <c r="W213" i="7"/>
  <c r="V216" i="7"/>
  <c r="W216" i="7"/>
  <c r="W278" i="7"/>
  <c r="V278" i="7"/>
  <c r="AA210" i="7" l="1"/>
  <c r="Z119" i="7"/>
  <c r="AA131" i="7"/>
  <c r="Z145" i="7"/>
  <c r="Z196" i="7"/>
  <c r="Z188" i="7"/>
  <c r="AA231" i="7"/>
  <c r="Z131" i="7"/>
  <c r="AA145" i="7"/>
  <c r="AA188" i="7"/>
  <c r="AA196" i="7"/>
  <c r="Z169" i="7"/>
  <c r="Z363" i="7"/>
  <c r="AA334" i="7"/>
  <c r="Z255" i="7"/>
  <c r="AA321" i="7"/>
  <c r="AA344" i="7"/>
  <c r="AA338" i="7"/>
  <c r="AA358" i="7"/>
  <c r="AA273" i="7"/>
  <c r="Z358" i="7"/>
  <c r="Z306" i="7"/>
  <c r="AA293" i="7"/>
  <c r="Z318" i="7"/>
  <c r="Z231" i="7"/>
  <c r="Z312" i="7"/>
  <c r="Z334" i="7"/>
  <c r="Z344" i="7"/>
  <c r="AA328" i="7"/>
  <c r="AA306" i="7"/>
  <c r="Z300" i="7"/>
  <c r="AA268" i="7"/>
  <c r="AA363" i="7"/>
  <c r="Z273" i="7"/>
  <c r="Z338" i="7"/>
  <c r="AA240" i="7"/>
  <c r="Z293" i="7"/>
  <c r="Z328" i="7"/>
  <c r="AA255" i="7"/>
  <c r="AA163" i="7"/>
  <c r="AA177" i="7"/>
  <c r="Z163" i="7"/>
  <c r="AA182" i="7"/>
  <c r="AA155" i="7"/>
  <c r="Z182" i="7"/>
  <c r="Z155" i="7"/>
  <c r="AA169" i="7"/>
  <c r="Z177" i="7"/>
  <c r="Z210" i="7"/>
  <c r="Z240" i="7"/>
  <c r="Z203" i="7"/>
  <c r="AA263" i="7"/>
  <c r="AA249" i="7"/>
  <c r="Z351" i="7"/>
  <c r="AA351" i="7"/>
  <c r="AA287" i="7"/>
  <c r="Z280" i="7"/>
  <c r="Z287" i="7"/>
  <c r="Z263" i="7"/>
  <c r="Z249" i="7"/>
  <c r="AA203" i="7"/>
  <c r="AA223" i="7"/>
  <c r="Z223" i="7"/>
  <c r="AA217" i="7"/>
  <c r="AA280" i="7"/>
  <c r="Z217" i="7"/>
</calcChain>
</file>

<file path=xl/sharedStrings.xml><?xml version="1.0" encoding="utf-8"?>
<sst xmlns="http://schemas.openxmlformats.org/spreadsheetml/2006/main" count="2396" uniqueCount="879">
  <si>
    <t>Date</t>
  </si>
  <si>
    <t>Hours</t>
  </si>
  <si>
    <t>(Local time)</t>
  </si>
  <si>
    <t>Moon</t>
  </si>
  <si>
    <t>phase</t>
  </si>
  <si>
    <t>Real</t>
  </si>
  <si>
    <t>Obs</t>
  </si>
  <si>
    <t>Flashes</t>
  </si>
  <si>
    <t>Weather Conditions</t>
  </si>
  <si>
    <t>Comments</t>
  </si>
  <si>
    <t>18:40-19:40</t>
  </si>
  <si>
    <t>Thin clouds</t>
  </si>
  <si>
    <t>CAM failure (15% lost); 60% lost due to weather; 25K frames; 20 min on Moon</t>
  </si>
  <si>
    <t>Cloudiness</t>
  </si>
  <si>
    <t>05:40-07:00</t>
  </si>
  <si>
    <t>Thin clouds and humidity ~90%</t>
  </si>
  <si>
    <t>20% lost due to weather; 75K frames; 42 min on Moon</t>
  </si>
  <si>
    <t>Cloudiness and rain</t>
  </si>
  <si>
    <t>05:00-07:00</t>
  </si>
  <si>
    <t>Very good</t>
  </si>
  <si>
    <t>131K frames; 72 min on Moon</t>
  </si>
  <si>
    <t>100% lost due to telescope failure</t>
  </si>
  <si>
    <t>Telescope failure</t>
  </si>
  <si>
    <t>02:00-07:10</t>
  </si>
  <si>
    <t>02:50-07:10</t>
  </si>
  <si>
    <t>Rain</t>
  </si>
  <si>
    <t>03:45-07:10</t>
  </si>
  <si>
    <t>Rain and snow</t>
  </si>
  <si>
    <t>04:50-07:10</t>
  </si>
  <si>
    <t>05:45-07:10</t>
  </si>
  <si>
    <t>06:35-07:10</t>
  </si>
  <si>
    <t>18:30-19:40</t>
  </si>
  <si>
    <t>18:30-20:45</t>
  </si>
  <si>
    <t>18:30-21:50</t>
  </si>
  <si>
    <t>18:30-22:55</t>
  </si>
  <si>
    <t>18:30-00:00</t>
  </si>
  <si>
    <t>02:40-06:35</t>
  </si>
  <si>
    <t>03:35-06:35</t>
  </si>
  <si>
    <t>04:30-06:35</t>
  </si>
  <si>
    <t>05:25-06:35</t>
  </si>
  <si>
    <t>21:20-23:10</t>
  </si>
  <si>
    <t>04:10-05:50</t>
  </si>
  <si>
    <t>05:55-06:25</t>
  </si>
  <si>
    <t>04:50-06:45</t>
  </si>
  <si>
    <t>02:50-06:45</t>
  </si>
  <si>
    <t>Humidity &gt;90%</t>
  </si>
  <si>
    <t>Moderate (Humidity 85-90%)</t>
  </si>
  <si>
    <t>Campaign period</t>
  </si>
  <si>
    <t>Testing period</t>
  </si>
  <si>
    <t>Moon too bright; very blur images</t>
  </si>
  <si>
    <t>Moderate. Thin passing clouds</t>
  </si>
  <si>
    <t>High atmospheric turbulence</t>
  </si>
  <si>
    <t>real</t>
  </si>
  <si>
    <t>weather</t>
  </si>
  <si>
    <t>technical</t>
  </si>
  <si>
    <t>Feb-17</t>
  </si>
  <si>
    <t>20:15-01:05</t>
  </si>
  <si>
    <t>18:50-19:45</t>
  </si>
  <si>
    <t>18:50-20:50</t>
  </si>
  <si>
    <t>18:50-21:55</t>
  </si>
  <si>
    <t>18:50-23:00</t>
  </si>
  <si>
    <t>04:15-06:05</t>
  </si>
  <si>
    <t>05:10-06:05</t>
  </si>
  <si>
    <t>20:15-21:50</t>
  </si>
  <si>
    <t>20:15-22:55</t>
  </si>
  <si>
    <t>20:15-00:00</t>
  </si>
  <si>
    <t>05:15-06:25</t>
  </si>
  <si>
    <t>05:50-06:25</t>
  </si>
  <si>
    <t>20:45-21:50</t>
  </si>
  <si>
    <t>20:45-22:55</t>
  </si>
  <si>
    <t>20:45-23:45</t>
  </si>
  <si>
    <t>20:45-00:30</t>
  </si>
  <si>
    <t>04:55-05:50</t>
  </si>
  <si>
    <t>05:25-05:50</t>
  </si>
  <si>
    <t>21:10-21:35</t>
  </si>
  <si>
    <t>21:10-22:30</t>
  </si>
  <si>
    <t>21:10-23:15</t>
  </si>
  <si>
    <t>21:10-23:55</t>
  </si>
  <si>
    <t>04:00-05:40</t>
  </si>
  <si>
    <t>04:30-05:40</t>
  </si>
  <si>
    <t>05:05-05:40</t>
  </si>
  <si>
    <t>21:20-21:55</t>
  </si>
  <si>
    <t>21:20-22:35</t>
  </si>
  <si>
    <t>21:20-23:05</t>
  </si>
  <si>
    <t>03:45-05:55</t>
  </si>
  <si>
    <t>04:25-05:55</t>
  </si>
  <si>
    <t>05:10-05:55</t>
  </si>
  <si>
    <t>21:10-21:40</t>
  </si>
  <si>
    <t>21:10-22:10</t>
  </si>
  <si>
    <t>21:10-22:40</t>
  </si>
  <si>
    <t>03:10-06:20</t>
  </si>
  <si>
    <t>04:00-06:20</t>
  </si>
  <si>
    <t>04:55-06:20</t>
  </si>
  <si>
    <t>20:30-21:05</t>
  </si>
  <si>
    <t>20:30-21:30</t>
  </si>
  <si>
    <t>03:45-06:45</t>
  </si>
  <si>
    <t>05:50-06:45</t>
  </si>
  <si>
    <t>19:50-20:35</t>
  </si>
  <si>
    <t>19:50-21:10</t>
  </si>
  <si>
    <t>02:40-07:10</t>
  </si>
  <si>
    <t>04:45-07:10</t>
  </si>
  <si>
    <t>05:50-07:10</t>
  </si>
  <si>
    <t>19:05-19:45</t>
  </si>
  <si>
    <t>19:05-20:30</t>
  </si>
  <si>
    <t>19:05-21:20</t>
  </si>
  <si>
    <t>02:45-06:40</t>
  </si>
  <si>
    <t>03:45-06:40</t>
  </si>
  <si>
    <t>04:50-06:40</t>
  </si>
  <si>
    <t>05:50-06:40</t>
  </si>
  <si>
    <t>17:40-18:15</t>
  </si>
  <si>
    <t>17:40-19:05</t>
  </si>
  <si>
    <t>17:40-20:05</t>
  </si>
  <si>
    <t>17:40-21:10</t>
  </si>
  <si>
    <t>17:40-19:00</t>
  </si>
  <si>
    <t>17:40-20:00</t>
  </si>
  <si>
    <t>17:40-21:05</t>
  </si>
  <si>
    <t>17:40-22:05</t>
  </si>
  <si>
    <t>03:35-07:20</t>
  </si>
  <si>
    <t>04:40-07:20</t>
  </si>
  <si>
    <t>05:40-07:20</t>
  </si>
  <si>
    <t>06:40-07:20</t>
  </si>
  <si>
    <t>18:05-18:55</t>
  </si>
  <si>
    <t>18:05-19:55</t>
  </si>
  <si>
    <t>18:05-21:00</t>
  </si>
  <si>
    <t>18:05-22:05</t>
  </si>
  <si>
    <t>04:30-07:05</t>
  </si>
  <si>
    <t>05:35-07:05</t>
  </si>
  <si>
    <t>06:25-07:05</t>
  </si>
  <si>
    <t>18:40-19:55</t>
  </si>
  <si>
    <t>18:40-21:00</t>
  </si>
  <si>
    <t>18:40-22:05</t>
  </si>
  <si>
    <t>18:40-23:05</t>
  </si>
  <si>
    <t>04:15-06:25</t>
  </si>
  <si>
    <t>05:10-06:25</t>
  </si>
  <si>
    <t>19:05-19:55</t>
  </si>
  <si>
    <t>19:05-21:00</t>
  </si>
  <si>
    <t>19:05-22:05</t>
  </si>
  <si>
    <t>19:05-23:05</t>
  </si>
  <si>
    <t>05:35-06:40</t>
  </si>
  <si>
    <t>06:10-06:40</t>
  </si>
  <si>
    <t>20:35-22:00</t>
  </si>
  <si>
    <t>20:35-23:05</t>
  </si>
  <si>
    <t>20:35-00:05</t>
  </si>
  <si>
    <t>05:10-06:00</t>
  </si>
  <si>
    <t>05:40-06:00</t>
  </si>
  <si>
    <t>21:00-21:55</t>
  </si>
  <si>
    <t>21:00-22:55</t>
  </si>
  <si>
    <t>21:00-23:45</t>
  </si>
  <si>
    <t>04:40-05:40</t>
  </si>
  <si>
    <t>21:20-22:25</t>
  </si>
  <si>
    <t>21:20-23:45</t>
  </si>
  <si>
    <t>03:35-05:50</t>
  </si>
  <si>
    <t>04:45-05:50</t>
  </si>
  <si>
    <t>21:15-21:45</t>
  </si>
  <si>
    <t>21:15-22:20</t>
  </si>
  <si>
    <t>21:15-22:50</t>
  </si>
  <si>
    <t>21:15-23:20</t>
  </si>
  <si>
    <t>02:45-06:10</t>
  </si>
  <si>
    <t>03:25-06:10</t>
  </si>
  <si>
    <t>04:10-06:10</t>
  </si>
  <si>
    <t>05:05-06:10</t>
  </si>
  <si>
    <t>20:45-21:20</t>
  </si>
  <si>
    <t>20:45-22:20</t>
  </si>
  <si>
    <t>02:55-06:35</t>
  </si>
  <si>
    <t>03:50-06:35</t>
  </si>
  <si>
    <t>04:50-06:35</t>
  </si>
  <si>
    <t>05:55-06:35</t>
  </si>
  <si>
    <t>20:05-20:45</t>
  </si>
  <si>
    <t>20:05-21:20</t>
  </si>
  <si>
    <t>02:40-07:00</t>
  </si>
  <si>
    <t>03:40-07:00</t>
  </si>
  <si>
    <t>04:50-07:00</t>
  </si>
  <si>
    <t>05:55-07:00</t>
  </si>
  <si>
    <t>19:20-19:50</t>
  </si>
  <si>
    <t>19:20-20:30</t>
  </si>
  <si>
    <t>19:20-21:15</t>
  </si>
  <si>
    <t>01:40-06:30</t>
  </si>
  <si>
    <t>02:45-06:30</t>
  </si>
  <si>
    <t>03:55-06:30</t>
  </si>
  <si>
    <t>05:00-06:30</t>
  </si>
  <si>
    <t>17:45-18:55</t>
  </si>
  <si>
    <t>17:45-19:50</t>
  </si>
  <si>
    <t>17:45-20:50</t>
  </si>
  <si>
    <t>02:50-07:00</t>
  </si>
  <si>
    <t>03:55-07:00</t>
  </si>
  <si>
    <t>05:05-07:00</t>
  </si>
  <si>
    <t>06:10-07:00</t>
  </si>
  <si>
    <t>17:35-18:40</t>
  </si>
  <si>
    <t>17:35-19:40</t>
  </si>
  <si>
    <t>17:35-20:40</t>
  </si>
  <si>
    <t>17:35-21:45</t>
  </si>
  <si>
    <t>02:55-07:20</t>
  </si>
  <si>
    <t>04:05-07:20</t>
  </si>
  <si>
    <t>05:15-07:20</t>
  </si>
  <si>
    <t>06:20-07:20</t>
  </si>
  <si>
    <t>17:55-19:35</t>
  </si>
  <si>
    <t>17:55-20:35</t>
  </si>
  <si>
    <t>17:55-21:35</t>
  </si>
  <si>
    <t>good</t>
  </si>
  <si>
    <t>moderate</t>
  </si>
  <si>
    <t>moderate atmospheric turbulence</t>
  </si>
  <si>
    <t>excellent</t>
  </si>
  <si>
    <t>Mar-17</t>
  </si>
  <si>
    <t>out of phase range</t>
  </si>
  <si>
    <t>passing clouds</t>
  </si>
  <si>
    <t>Apr-17</t>
  </si>
  <si>
    <t>passing clouds and saharian dust</t>
  </si>
  <si>
    <t>May-17</t>
  </si>
  <si>
    <t>thin clouds and sporadic clouds</t>
  </si>
  <si>
    <t>1 susp</t>
  </si>
  <si>
    <t>2 susp</t>
  </si>
  <si>
    <t>good and passing clouds</t>
  </si>
  <si>
    <t>The date was for testing the software at phase 0.435</t>
  </si>
  <si>
    <t>Jun-17</t>
  </si>
  <si>
    <t>very good--humidity 87%</t>
  </si>
  <si>
    <t>3 susp</t>
  </si>
  <si>
    <t>very good</t>
  </si>
  <si>
    <t>Jul-17</t>
  </si>
  <si>
    <t>3 and 1 susp</t>
  </si>
  <si>
    <t>2 and 1 susp</t>
  </si>
  <si>
    <t>~15 min lost due to passing clouds</t>
  </si>
  <si>
    <t>Aug-17</t>
  </si>
  <si>
    <t>1 validated</t>
  </si>
  <si>
    <t>Sep-17</t>
  </si>
  <si>
    <t>15 min lost due to network connection malfunction</t>
  </si>
  <si>
    <t>cloudiness</t>
  </si>
  <si>
    <t>Oct-17</t>
  </si>
  <si>
    <t>very good. Clouds after 06:00</t>
  </si>
  <si>
    <t>the detection software stacked at 65% probably due to cloudy images</t>
  </si>
  <si>
    <t>35% was lost due to technical problem of the mirror doors</t>
  </si>
  <si>
    <t>0</t>
  </si>
  <si>
    <t>good but passing clouds</t>
  </si>
  <si>
    <t>70% was lost due to weather</t>
  </si>
  <si>
    <t>Humidity &gt;80%</t>
  </si>
  <si>
    <t>50% was lost due to cloudiness and high humidity</t>
  </si>
  <si>
    <t>2 validated</t>
  </si>
  <si>
    <t>Nov-17</t>
  </si>
  <si>
    <t>25% lost due to cloudiness</t>
  </si>
  <si>
    <t>50% lost due to cloudiness at the beginning</t>
  </si>
  <si>
    <t xml:space="preserve">moderate </t>
  </si>
  <si>
    <t xml:space="preserve">passing clouds </t>
  </si>
  <si>
    <t>Dec-17</t>
  </si>
  <si>
    <t>bad seeing conditions (&gt;3")</t>
  </si>
  <si>
    <t>2 validated, 4 susp</t>
  </si>
  <si>
    <t>seeing variations, geminids T-1 max</t>
  </si>
  <si>
    <t>seeing variations, geminids T-2 max</t>
  </si>
  <si>
    <t>1 validated, 4 susp</t>
  </si>
  <si>
    <t>snowing</t>
  </si>
  <si>
    <t>site not accessible due to snow level</t>
  </si>
  <si>
    <t>poor seeing. 25 min lost due to cloudiness. Geminids maximum</t>
  </si>
  <si>
    <t>Jan-18</t>
  </si>
  <si>
    <t>Moderate (Humidity ~90%)</t>
  </si>
  <si>
    <t>moderate to bad</t>
  </si>
  <si>
    <t>sporadic clouds</t>
  </si>
  <si>
    <t>Feb-18</t>
  </si>
  <si>
    <t>sporadic clouds and technical problem with the network (test for phase 0.449)</t>
  </si>
  <si>
    <t>min</t>
  </si>
  <si>
    <t>Mar-18</t>
  </si>
  <si>
    <t>phase 0.443 at a lunar distance ~400,000 km marginally accepted (~60% coverage)</t>
  </si>
  <si>
    <t>good initially, cloudiness after 30 min</t>
  </si>
  <si>
    <t>Apr-18</t>
  </si>
  <si>
    <t>Lyrids maximum</t>
  </si>
  <si>
    <t>May-18</t>
  </si>
  <si>
    <t>test for phase 0.449--&gt;accepted. 20% lost due to time problem (distance~368.000 km)</t>
  </si>
  <si>
    <t>Test for phase 0.46; images are too blurry (distance 371.000 km)</t>
  </si>
  <si>
    <t>Test for phase 0.42; NELIOTA detection software crashed (distance 376.000 km)</t>
  </si>
  <si>
    <t>Moon too bright; very blur images (distance ~400.000 km)</t>
  </si>
  <si>
    <t>21:00-00:30</t>
  </si>
  <si>
    <t>test for phase 0.478 (distance 378.000 km)??????????????????????</t>
  </si>
  <si>
    <t>cloudiness for the first half</t>
  </si>
  <si>
    <t>test for phase 0.46 (distance 367.000 km); cloudiness; marginally accepted; 60% coverage</t>
  </si>
  <si>
    <t>Jun-18</t>
  </si>
  <si>
    <t>1 suspected??</t>
  </si>
  <si>
    <t>3 validated</t>
  </si>
  <si>
    <t>sporadic clouds (~70% coverage due to bright phase)</t>
  </si>
  <si>
    <t>Jul-18</t>
  </si>
  <si>
    <t>Too bright. 60% coverage (distance=384.000 km)</t>
  </si>
  <si>
    <t>Aug-18</t>
  </si>
  <si>
    <t>2 val + 2 susp</t>
  </si>
  <si>
    <t>4 validated</t>
  </si>
  <si>
    <t>6 days before perseids maximum</t>
  </si>
  <si>
    <t>5 days before perseids maximum</t>
  </si>
  <si>
    <t>4 days before perseids maximum</t>
  </si>
  <si>
    <t>3 days after perseids maximum. Cloudiness for the first 15 min.</t>
  </si>
  <si>
    <t>2 suspected</t>
  </si>
  <si>
    <t>5 days after perseids maximum</t>
  </si>
  <si>
    <t>Sep-18</t>
  </si>
  <si>
    <t>04:15-07:15</t>
  </si>
  <si>
    <t>05:15-07:15</t>
  </si>
  <si>
    <t>06:20-07:15</t>
  </si>
  <si>
    <t>18:20-19:30</t>
  </si>
  <si>
    <t>18:20-20:25</t>
  </si>
  <si>
    <t>18:20-21:25</t>
  </si>
  <si>
    <t>18:20-22:25</t>
  </si>
  <si>
    <t>05:20-06:40</t>
  </si>
  <si>
    <t>04:20-06:40</t>
  </si>
  <si>
    <t>18:50-19:20</t>
  </si>
  <si>
    <t>18:50-20:20</t>
  </si>
  <si>
    <t>18:50-21:20</t>
  </si>
  <si>
    <t>18:50-22:20</t>
  </si>
  <si>
    <t>18:50-23:20</t>
  </si>
  <si>
    <t>05:00-06:00</t>
  </si>
  <si>
    <t>05:35-06:00</t>
  </si>
  <si>
    <t>20:20-21:15</t>
  </si>
  <si>
    <t>20:20-21:10</t>
  </si>
  <si>
    <t>20:20-22:15</t>
  </si>
  <si>
    <t>20:20-23:15</t>
  </si>
  <si>
    <t>20:20-00:15</t>
  </si>
  <si>
    <t>05:45-06:20</t>
  </si>
  <si>
    <t>20:45-21:10</t>
  </si>
  <si>
    <t>20:45-22:10</t>
  </si>
  <si>
    <t>20:45-23:05</t>
  </si>
  <si>
    <t>20:45-00:00</t>
  </si>
  <si>
    <t>05:00-05:50</t>
  </si>
  <si>
    <t>21:10-21:55</t>
  </si>
  <si>
    <t>21:10-22:50</t>
  </si>
  <si>
    <t>21:10-23:30</t>
  </si>
  <si>
    <t>21:10-00:10</t>
  </si>
  <si>
    <t>03:50-05:50</t>
  </si>
  <si>
    <t>04:20-05:50</t>
  </si>
  <si>
    <t>04:50-05:50</t>
  </si>
  <si>
    <t>05:20-05:50</t>
  </si>
  <si>
    <t>21:15-22:10</t>
  </si>
  <si>
    <t>21:15-22:45</t>
  </si>
  <si>
    <t>03:15-06:05</t>
  </si>
  <si>
    <t>03:55-06:05</t>
  </si>
  <si>
    <t>04:35-06:05</t>
  </si>
  <si>
    <t>20:55-21:20</t>
  </si>
  <si>
    <t>20:55-21:50</t>
  </si>
  <si>
    <t>20:55-22:20</t>
  </si>
  <si>
    <t>05:20-06:05</t>
  </si>
  <si>
    <t>03:10-06:30</t>
  </si>
  <si>
    <t>04:00-06:30</t>
  </si>
  <si>
    <t>06:05-06:30</t>
  </si>
  <si>
    <t>20:20-20:45</t>
  </si>
  <si>
    <t>20:20-21:45</t>
  </si>
  <si>
    <t>02:45-07:00</t>
  </si>
  <si>
    <t>03:45-07:00</t>
  </si>
  <si>
    <t>06:00-07:00</t>
  </si>
  <si>
    <t>19:35-20:20</t>
  </si>
  <si>
    <t>19:35-21:00</t>
  </si>
  <si>
    <t>02:40-07:25</t>
  </si>
  <si>
    <t>03:45-07:25</t>
  </si>
  <si>
    <t>04:50-07:25</t>
  </si>
  <si>
    <t>06:00-07:25</t>
  </si>
  <si>
    <t>17:50-18:35</t>
  </si>
  <si>
    <t>17:50-19:35</t>
  </si>
  <si>
    <t>17:50-20:35</t>
  </si>
  <si>
    <t>02:50-06:55</t>
  </si>
  <si>
    <t>04:00-06:55</t>
  </si>
  <si>
    <t>05:10-06:55</t>
  </si>
  <si>
    <t>06:25-06:55</t>
  </si>
  <si>
    <t>17:30-18:20</t>
  </si>
  <si>
    <t>17:30-19:25</t>
  </si>
  <si>
    <t>17:30-20:30</t>
  </si>
  <si>
    <t>03:00-07:20</t>
  </si>
  <si>
    <t>04:10-07:20</t>
  </si>
  <si>
    <t>05:25-07:20</t>
  </si>
  <si>
    <t>03:15-07:25</t>
  </si>
  <si>
    <t>test for phase 0.44 (distance 371.000 km)??????</t>
  </si>
  <si>
    <t>04:30-07:25</t>
  </si>
  <si>
    <t>05:45-07:25</t>
  </si>
  <si>
    <t>07:00-07:25</t>
  </si>
  <si>
    <t>18:10-19:15</t>
  </si>
  <si>
    <t>18:10-20:15</t>
  </si>
  <si>
    <t>18:10-21:15</t>
  </si>
  <si>
    <t>18:10-22:10</t>
  </si>
  <si>
    <t>04:50-06:55</t>
  </si>
  <si>
    <t>06:00-06:55</t>
  </si>
  <si>
    <t>18:40-19:05</t>
  </si>
  <si>
    <t>18:40-20:00</t>
  </si>
  <si>
    <t>18:40-21:55</t>
  </si>
  <si>
    <t>18:40-22:55</t>
  </si>
  <si>
    <t>05:00-06:20</t>
  </si>
  <si>
    <t>05:50-06:20</t>
  </si>
  <si>
    <t>19:05-19:50</t>
  </si>
  <si>
    <t>19:05-20:45</t>
  </si>
  <si>
    <t>20:05-22:45</t>
  </si>
  <si>
    <t>20:05-23:40</t>
  </si>
  <si>
    <t>20:05-00:35</t>
  </si>
  <si>
    <t>test for phase 0.44 (distance 385.000 km)??????</t>
  </si>
  <si>
    <t>06:10-06:35</t>
  </si>
  <si>
    <t>20:35-21:35</t>
  </si>
  <si>
    <t>20:35-22:35</t>
  </si>
  <si>
    <t>20:35-23:30</t>
  </si>
  <si>
    <t>20:35-00:20</t>
  </si>
  <si>
    <t>05:30-06:00</t>
  </si>
  <si>
    <t>21:05-22:20</t>
  </si>
  <si>
    <t>21:05-23:05</t>
  </si>
  <si>
    <t>21:05-23:50</t>
  </si>
  <si>
    <t>04:15-05:45</t>
  </si>
  <si>
    <t>04:40-05:45</t>
  </si>
  <si>
    <t>05:05-05:45</t>
  </si>
  <si>
    <t>21:15-21:50</t>
  </si>
  <si>
    <t>21:15-22:35</t>
  </si>
  <si>
    <t>21:15-23:10</t>
  </si>
  <si>
    <t>21:15-23:40</t>
  </si>
  <si>
    <t>test for phase 0.45 (distance 397.000 km)??????</t>
  </si>
  <si>
    <t>03:30-06:00</t>
  </si>
  <si>
    <t>04:00-06:00</t>
  </si>
  <si>
    <t>04:30-06:00</t>
  </si>
  <si>
    <t>21:05-21:45</t>
  </si>
  <si>
    <t>21:05-22:10</t>
  </si>
  <si>
    <t>21:05-22:40</t>
  </si>
  <si>
    <t>03:05-06:20</t>
  </si>
  <si>
    <t>03:45-06:20</t>
  </si>
  <si>
    <t>04:35-06:20</t>
  </si>
  <si>
    <t>05:30-06:20</t>
  </si>
  <si>
    <t>20:35-21:10</t>
  </si>
  <si>
    <t>20:35-21:40</t>
  </si>
  <si>
    <t>02:25-06:50</t>
  </si>
  <si>
    <t>03:15-06:50</t>
  </si>
  <si>
    <t>04:10-06:50</t>
  </si>
  <si>
    <t>05:15-06:50</t>
  </si>
  <si>
    <t>06:20-06:50</t>
  </si>
  <si>
    <t>19:45-20:10</t>
  </si>
  <si>
    <t>19:45-20:35</t>
  </si>
  <si>
    <t>19:05-20:55</t>
  </si>
  <si>
    <t>01:50-06:45</t>
  </si>
  <si>
    <t>test for phase 0.455 (distance 376.000 km)</t>
  </si>
  <si>
    <t>02:55-06:45</t>
  </si>
  <si>
    <t>04:05-06:45</t>
  </si>
  <si>
    <t>05:15-06:45</t>
  </si>
  <si>
    <t>17:35-18:50</t>
  </si>
  <si>
    <t>17:35-20:00</t>
  </si>
  <si>
    <t>03:00-07:15</t>
  </si>
  <si>
    <t>04:10-07:15</t>
  </si>
  <si>
    <t>05:25-07:15</t>
  </si>
  <si>
    <t>17:35-18:55</t>
  </si>
  <si>
    <t>17:35-20:10</t>
  </si>
  <si>
    <t>17:35-21:20</t>
  </si>
  <si>
    <t>Oct-18</t>
  </si>
  <si>
    <t>moderate (humidity+haze)</t>
  </si>
  <si>
    <t>1 suspected</t>
  </si>
  <si>
    <t>moderate (thin clouds)</t>
  </si>
  <si>
    <t>Nov-18</t>
  </si>
  <si>
    <t>test for phase 0.46 (distance 368.000 km); ~50% surface coverage- acceptable</t>
  </si>
  <si>
    <t>obs</t>
  </si>
  <si>
    <t>tec</t>
  </si>
  <si>
    <t>True Observed</t>
  </si>
  <si>
    <t>available</t>
  </si>
  <si>
    <t>true hours</t>
  </si>
  <si>
    <t>percentage</t>
  </si>
  <si>
    <t>true hrs</t>
  </si>
  <si>
    <t>observed hrs</t>
  </si>
  <si>
    <t>weather hrs</t>
  </si>
  <si>
    <t>tech hrs</t>
  </si>
  <si>
    <t xml:space="preserve"> observed</t>
  </si>
  <si>
    <t>observed %</t>
  </si>
  <si>
    <t>weather %</t>
  </si>
  <si>
    <t>tech %</t>
  </si>
  <si>
    <t>sec</t>
  </si>
  <si>
    <t>Hrs</t>
  </si>
  <si>
    <t>true observed time (hrs)</t>
  </si>
  <si>
    <t>true % good</t>
  </si>
  <si>
    <t>good (humidity)</t>
  </si>
  <si>
    <t xml:space="preserve"> ~50% surface coverage- acceptable, at 401778 km distance</t>
  </si>
  <si>
    <t>Dec-18</t>
  </si>
  <si>
    <t>very good. Cloudiness after the first half</t>
  </si>
  <si>
    <t>sporadic clouds until 18:15</t>
  </si>
  <si>
    <t>Cloudiness &amp; high humidity</t>
  </si>
  <si>
    <t>moderate - cloudiness</t>
  </si>
  <si>
    <t xml:space="preserve"> ~50% surface coverage- acceptable, at 370730 km distance</t>
  </si>
  <si>
    <t>Cloudiness - snowfall</t>
  </si>
  <si>
    <t xml:space="preserve">Cloudiness </t>
  </si>
  <si>
    <t>Jan-19</t>
  </si>
  <si>
    <t>Partial lunar eclipse</t>
  </si>
  <si>
    <t>23:30-01:30</t>
  </si>
  <si>
    <t>cloudiness until 19:00</t>
  </si>
  <si>
    <t xml:space="preserve"> ~95% surface coverage at ~397000 km distance</t>
  </si>
  <si>
    <t>Feb-19</t>
  </si>
  <si>
    <t>Mar-19</t>
  </si>
  <si>
    <t>bad seeing conditions (&gt;3"); 15% lost due to unexpected server crash</t>
  </si>
  <si>
    <t>Not known</t>
  </si>
  <si>
    <t>bad seeing (&gt;3''). 3% lost due to cloudiness</t>
  </si>
  <si>
    <t>bad seeing (&gt;3'')</t>
  </si>
  <si>
    <t>Cloudiness, rain, snowfall</t>
  </si>
  <si>
    <t xml:space="preserve"> ~40% surface coverage at ~384000 km distance</t>
  </si>
  <si>
    <t>Apr-19</t>
  </si>
  <si>
    <t>May-19</t>
  </si>
  <si>
    <t>Jun-19</t>
  </si>
  <si>
    <t>2 val + 1 susp</t>
  </si>
  <si>
    <t>1  suspected</t>
  </si>
  <si>
    <t>test for phase 0.44 (distance 396.000 km); ~70% coverage.</t>
  </si>
  <si>
    <t>moderate/bad</t>
  </si>
  <si>
    <t>Jul-19</t>
  </si>
  <si>
    <t>1 val + 1 susp</t>
  </si>
  <si>
    <t>cov %</t>
  </si>
  <si>
    <t>test for phase 0.43 (distance 371.000 km); ~82% coverage.</t>
  </si>
  <si>
    <t>test for phase 0.46 (distance 367.000 km); ~55% coverage. Cloudiness after 22:00</t>
  </si>
  <si>
    <t xml:space="preserve"> ~42% surface coverage at ~384000 km distance</t>
  </si>
  <si>
    <t xml:space="preserve"> ~58% surface coverage- acceptable, at 370730 km distance</t>
  </si>
  <si>
    <t xml:space="preserve"> ~59% surface coverage- acceptable, at 401778 km distance</t>
  </si>
  <si>
    <t>test for phase 0.46 (distance 368.000 km); ~58% surface coverage- acceptable</t>
  </si>
  <si>
    <t>Too bright. 75% coverage (distance=384.000 km)</t>
  </si>
  <si>
    <t>sporadic clouds (~68% coverage due to bright phase)</t>
  </si>
  <si>
    <t>test for phase 0.46 (distance 367.000 km); cloudiness; marginally accepted; 47.5% coverage</t>
  </si>
  <si>
    <t>phase 0.443 at a lunar distance ~400,000 km marginally accepted (~73% coverage)</t>
  </si>
  <si>
    <t>hor pixels</t>
  </si>
  <si>
    <t>6 validated</t>
  </si>
  <si>
    <t>2 days before SDA max</t>
  </si>
  <si>
    <t>1 day before SDA max</t>
  </si>
  <si>
    <t>~84% coverage (distance 389000 km), 3 days before SDA max</t>
  </si>
  <si>
    <t>very bad seeing &gt;4.5''</t>
  </si>
  <si>
    <t>Aug-19</t>
  </si>
  <si>
    <t>3 val + 2 susp</t>
  </si>
  <si>
    <t>5 days before perseids maximum; dis=370000 km, coverage ~84%</t>
  </si>
  <si>
    <t>~8% (7 min) lost due to sporadic clouds</t>
  </si>
  <si>
    <t>Sep-19</t>
  </si>
  <si>
    <t>test for phase 0.46 (distance 380.000 km). Coverage ~80%</t>
  </si>
  <si>
    <t>sporadic clouds for ~10 min</t>
  </si>
  <si>
    <t>cloudiness after 05:30</t>
  </si>
  <si>
    <t>Oct-19</t>
  </si>
  <si>
    <t>distance 385.000 km); ~87% coverage.</t>
  </si>
  <si>
    <t>test for phase 0.45 (distance 371.000 km); ~78% coverage</t>
  </si>
  <si>
    <t>Nov-19</t>
  </si>
  <si>
    <t>3% lost due to sporadic clouds</t>
  </si>
  <si>
    <t>weather (hr)</t>
  </si>
  <si>
    <t>tech (hr)</t>
  </si>
  <si>
    <t>SUM</t>
  </si>
  <si>
    <t>observed (hr)</t>
  </si>
  <si>
    <t>observed</t>
  </si>
  <si>
    <t>total clear</t>
  </si>
  <si>
    <t>test for phase 0.44 (distance 395.000 km); ~70% coverage; sporadic clouds</t>
  </si>
  <si>
    <t>Dec-19</t>
  </si>
  <si>
    <t>up to MS2</t>
  </si>
  <si>
    <t>sum</t>
  </si>
  <si>
    <t>sum obs</t>
  </si>
  <si>
    <t>sum weather</t>
  </si>
  <si>
    <t>sum technical</t>
  </si>
  <si>
    <t>17:40-19:20</t>
  </si>
  <si>
    <t>17:40-20:25</t>
  </si>
  <si>
    <t>17:40-21:25</t>
  </si>
  <si>
    <t>17:40-18:10</t>
  </si>
  <si>
    <t>78% lost due to cloudiness; 77.3% coverage at distance 365740 km</t>
  </si>
  <si>
    <t>Jan-20</t>
  </si>
  <si>
    <t>percentages</t>
  </si>
  <si>
    <t>absolute</t>
  </si>
  <si>
    <t>Val</t>
  </si>
  <si>
    <t>Sus</t>
  </si>
  <si>
    <t>very bad seeing/fluctuations</t>
  </si>
  <si>
    <t>~73% coverage at distance ~400000 km</t>
  </si>
  <si>
    <t>Feb-20</t>
  </si>
  <si>
    <t>atmospheric turbulence-bad seeing</t>
  </si>
  <si>
    <t>76% lost due to thin clouds</t>
  </si>
  <si>
    <t>10 min lost due to software crash. Bad seeing after 21:45. 80% coverage (dis ~ 392,000 km)</t>
  </si>
  <si>
    <t>100% lost due to failure of the dome shutter</t>
  </si>
  <si>
    <t>87% coverage at phase 0.43 and at distance ~380000 km</t>
  </si>
  <si>
    <t>val sum</t>
  </si>
  <si>
    <t>Mar-20</t>
  </si>
  <si>
    <t>susp sum</t>
  </si>
  <si>
    <t>45% lost due cloudiness and 9% due to cameras malfunction</t>
  </si>
  <si>
    <t>10% lost due to cloudiness; 86% coverage at a distance 394.000 km</t>
  </si>
  <si>
    <t>Apr-20</t>
  </si>
  <si>
    <t>bad</t>
  </si>
  <si>
    <t>02:55-07:15</t>
  </si>
  <si>
    <t>04:00-07:15</t>
  </si>
  <si>
    <t>05:05-07:15</t>
  </si>
  <si>
    <t>06:15-07:15</t>
  </si>
  <si>
    <t>98% coverage at distance ~373000 km</t>
  </si>
  <si>
    <t>May-20</t>
  </si>
  <si>
    <t>65% coverage at phase 0.46 at a distance 402.000 km</t>
  </si>
  <si>
    <t>90% coverage at phase 0.33 at a distance 401.000 km</t>
  </si>
  <si>
    <t>70% coverage at phase 0.44 and at distance 368.000 km</t>
  </si>
  <si>
    <t>Jun-20</t>
  </si>
  <si>
    <t xml:space="preserve">25% lost due sporadic clouds </t>
  </si>
  <si>
    <t>Jul-20</t>
  </si>
  <si>
    <t>50% lost due to I cam malfunction; observations performed without TE</t>
  </si>
  <si>
    <t>observations performed without TE</t>
  </si>
  <si>
    <t>73.5% coverage at phase 0.42 at a distance 366.000 km; observations performed without TE</t>
  </si>
  <si>
    <t>storage array malfunction. Could not store any data</t>
  </si>
  <si>
    <t>15% lost due to storage array malfunction</t>
  </si>
  <si>
    <t>75% lost due to storage array malfunction</t>
  </si>
  <si>
    <t>Aug-20</t>
  </si>
  <si>
    <t>100% lost due to storage array malfunction</t>
  </si>
  <si>
    <t>Sep-20</t>
  </si>
  <si>
    <t>100% lost due to absence of I cam (pending for its repair from Andor)</t>
  </si>
  <si>
    <t>Oct-20</t>
  </si>
  <si>
    <t>85% lost due to cloudiness</t>
  </si>
  <si>
    <t>Nov-20</t>
  </si>
  <si>
    <t>1</t>
  </si>
  <si>
    <t>87% lost due to cloudiness; 81% coverage at phase 0.38 at a distance 366000 km</t>
  </si>
  <si>
    <t>Dec-20</t>
  </si>
  <si>
    <t>03:15-07:15</t>
  </si>
  <si>
    <t>04:30-07:15</t>
  </si>
  <si>
    <t>05:50-07:15</t>
  </si>
  <si>
    <t>48% lost due to cloudiness. Very bad seeing (&gt;4) due to high turbulence and faint clouds</t>
  </si>
  <si>
    <t>Jan-21</t>
  </si>
  <si>
    <t>MS2-MS3</t>
  </si>
  <si>
    <t>19:05-20:40</t>
  </si>
  <si>
    <t>19:05-21:35</t>
  </si>
  <si>
    <t>19:05-22:30</t>
  </si>
  <si>
    <t>06:15-06:35</t>
  </si>
  <si>
    <t>20:30-21:25</t>
  </si>
  <si>
    <t>20:30-22:20</t>
  </si>
  <si>
    <t>20:30-23:15</t>
  </si>
  <si>
    <t>20:30-00:10</t>
  </si>
  <si>
    <t>20:30-01:00</t>
  </si>
  <si>
    <t>05:00-05:30</t>
  </si>
  <si>
    <t>04:35-05:30</t>
  </si>
  <si>
    <t>19:05-23:30</t>
  </si>
  <si>
    <t>21:00-22:05</t>
  </si>
  <si>
    <t>21:00-23:40</t>
  </si>
  <si>
    <t>21:00-00:25</t>
  </si>
  <si>
    <t>21:20-21:40</t>
  </si>
  <si>
    <t>21:20-23:00</t>
  </si>
  <si>
    <t>21:20-23:35</t>
  </si>
  <si>
    <t>21:20-22:10</t>
  </si>
  <si>
    <t>20:50-21:30</t>
  </si>
  <si>
    <t>20:50-21:55</t>
  </si>
  <si>
    <t>02:20-06:25</t>
  </si>
  <si>
    <t>03:05-06:25</t>
  </si>
  <si>
    <t>04:50-06:25</t>
  </si>
  <si>
    <t>03:55-06:25</t>
  </si>
  <si>
    <t>02:35-06:50</t>
  </si>
  <si>
    <t>03:35-06:50</t>
  </si>
  <si>
    <t>04:35-06:50</t>
  </si>
  <si>
    <t>05:35-06:50</t>
  </si>
  <si>
    <t>03:20-07:20</t>
  </si>
  <si>
    <t>03:20-06:20</t>
  </si>
  <si>
    <t>04:30-06:20</t>
  </si>
  <si>
    <t>05:35-06:20</t>
  </si>
  <si>
    <t>17:50-18:55</t>
  </si>
  <si>
    <t>17:50-20:20</t>
  </si>
  <si>
    <t>02:10-06:50</t>
  </si>
  <si>
    <t>04:25-06:50</t>
  </si>
  <si>
    <t>17:35-19:25</t>
  </si>
  <si>
    <t>17:35-17:55</t>
  </si>
  <si>
    <t>17:35-20:45</t>
  </si>
  <si>
    <t>03:15-07:10</t>
  </si>
  <si>
    <t>04:30-07:10</t>
  </si>
  <si>
    <t>05:55-07:10</t>
  </si>
  <si>
    <t>Feb-21</t>
  </si>
  <si>
    <t>Mar-21</t>
  </si>
  <si>
    <t>Apr-21</t>
  </si>
  <si>
    <t>May-21</t>
  </si>
  <si>
    <t>Jun-21</t>
  </si>
  <si>
    <t>Jul-21</t>
  </si>
  <si>
    <t>Aug-21</t>
  </si>
  <si>
    <t>Sep-21</t>
  </si>
  <si>
    <t>Oct-21</t>
  </si>
  <si>
    <t>Nov-21</t>
  </si>
  <si>
    <t>Dec-21</t>
  </si>
  <si>
    <t>67% lost due to cloudiness; saharian dust</t>
  </si>
  <si>
    <t>2 val</t>
  </si>
  <si>
    <t>moderate - bad</t>
  </si>
  <si>
    <t xml:space="preserve"> 40% lost due to cloudiness; bad seeing; ~63% coverage at phase 0.46 (d=391000 km)</t>
  </si>
  <si>
    <t>1 val</t>
  </si>
  <si>
    <t>2% lost due to sporadic clouds; ~79% coverage at phase 0.46 (d=385000 km)</t>
  </si>
  <si>
    <t>67% lost due to cloudiness</t>
  </si>
  <si>
    <t>33% lost due to cloudiness; observations performed without TE</t>
  </si>
  <si>
    <t>45% lost due to sporadic cloudiness</t>
  </si>
  <si>
    <t>3 val + 1 susp</t>
  </si>
  <si>
    <t>80% coverage at phase 0.39 (d=399000 km)</t>
  </si>
  <si>
    <t>03:45-05:40</t>
  </si>
  <si>
    <t>04:10-05:40</t>
  </si>
  <si>
    <t>05:10-05:40</t>
  </si>
  <si>
    <t xml:space="preserve">Observations performed without TE cooling due to R-cam malfunction </t>
  </si>
  <si>
    <t>Observations performed without TE cooling due to R-cam malfunction; ~78% coverage at phase 0.43 (d=371000 km)</t>
  </si>
  <si>
    <t>4 val +1 susp</t>
  </si>
  <si>
    <t>03:15-06:10</t>
  </si>
  <si>
    <t>03:45-06:10</t>
  </si>
  <si>
    <t>04:25-06:10</t>
  </si>
  <si>
    <t>05:15-06:10</t>
  </si>
  <si>
    <t>Observations performed without TE cooling due to R-cam malfunction; Telescope motor failure</t>
  </si>
  <si>
    <t>Telescope motor failure</t>
  </si>
  <si>
    <t>~69% coverage at phase 0.46 and at a distance of 370.000 km</t>
  </si>
  <si>
    <t>19:20-20:00</t>
  </si>
  <si>
    <t>19:20-21:00</t>
  </si>
  <si>
    <t>17:50-18:20</t>
  </si>
  <si>
    <t>17:50-19:40</t>
  </si>
  <si>
    <t>17:50-20:55</t>
  </si>
  <si>
    <t>17:50-22:00</t>
  </si>
  <si>
    <t>03:35-07:10</t>
  </si>
  <si>
    <t>04:55-07:10</t>
  </si>
  <si>
    <t>06:25-07:10</t>
  </si>
  <si>
    <t>18:20-19:40</t>
  </si>
  <si>
    <t>18:20-20:50</t>
  </si>
  <si>
    <t>18:20-21:50</t>
  </si>
  <si>
    <t>18:20-22:50</t>
  </si>
  <si>
    <t>18:50-19:35</t>
  </si>
  <si>
    <t>18:50-20:35</t>
  </si>
  <si>
    <t>18:50-21:35</t>
  </si>
  <si>
    <t>18:50-22:35</t>
  </si>
  <si>
    <t>18:50-23:30</t>
  </si>
  <si>
    <t>test for phase 0.45 (distance 401.000 km)</t>
  </si>
  <si>
    <t>~50% coverage at phase 0.45 and at a distance 383.000 km; bad seeing (&gt;4''); 54% lost due to sporadic clouds</t>
  </si>
  <si>
    <t>bad seeing (&gt;3")</t>
  </si>
  <si>
    <t>sporadic cloudiness</t>
  </si>
  <si>
    <t>test for phase 0.45 (distance 368.000 km); site not accessible due to high amount of snow</t>
  </si>
  <si>
    <t>site not accessible due to high amount of snow</t>
  </si>
  <si>
    <t>Jan-22</t>
  </si>
  <si>
    <t>hr</t>
  </si>
  <si>
    <t>20:15-21:25</t>
  </si>
  <si>
    <t>20:15-22:20</t>
  </si>
  <si>
    <t>20:15-23:20</t>
  </si>
  <si>
    <t>20:15-00:15</t>
  </si>
  <si>
    <t>20:15-01:10</t>
  </si>
  <si>
    <t>no time between 24-27/4</t>
  </si>
  <si>
    <t>20:40-21:10</t>
  </si>
  <si>
    <t>20:40-22:05</t>
  </si>
  <si>
    <t>20:40-22:55</t>
  </si>
  <si>
    <t>20:40-23:45</t>
  </si>
  <si>
    <t>20:40-00:25</t>
  </si>
  <si>
    <t>04:00-05:45</t>
  </si>
  <si>
    <t>04:20-05:45</t>
  </si>
  <si>
    <t>04:50-05:45</t>
  </si>
  <si>
    <t>05:15-05:45</t>
  </si>
  <si>
    <t>02:50-06:05</t>
  </si>
  <si>
    <t>02:30-06:30</t>
  </si>
  <si>
    <t>04:45-06:30</t>
  </si>
  <si>
    <t>05:40-06:30</t>
  </si>
  <si>
    <t>02:35-06:55</t>
  </si>
  <si>
    <t>03:30-06:55</t>
  </si>
  <si>
    <t>04:25-06:55</t>
  </si>
  <si>
    <t>05:20-06:55</t>
  </si>
  <si>
    <t>03:10-07:20</t>
  </si>
  <si>
    <t>05:10-07:20</t>
  </si>
  <si>
    <t>06:10-07:20</t>
  </si>
  <si>
    <t>d=401415 km--(long distance)</t>
  </si>
  <si>
    <t>d=390227 km--(long distance)</t>
  </si>
  <si>
    <t>Feb-22</t>
  </si>
  <si>
    <t>cloudiness and saharian dust</t>
  </si>
  <si>
    <t>saharian dust; 28% lost due to cloudiness</t>
  </si>
  <si>
    <t xml:space="preserve">sporadic cloudiness </t>
  </si>
  <si>
    <t>Mar-22</t>
  </si>
  <si>
    <t>Apr-22</t>
  </si>
  <si>
    <t>67% lost due cloudiness</t>
  </si>
  <si>
    <t>05:30-05:55</t>
  </si>
  <si>
    <t>May-22</t>
  </si>
  <si>
    <t>21:10-22:20</t>
  </si>
  <si>
    <t>1 val + 3 susp</t>
  </si>
  <si>
    <t>21:10-22:55</t>
  </si>
  <si>
    <t>3 val</t>
  </si>
  <si>
    <t>telescope pointed up to 10.5 deg elevation</t>
  </si>
  <si>
    <t>telescope pointed up to 15 deg elevation</t>
  </si>
  <si>
    <t>21:10-00:25</t>
  </si>
  <si>
    <t>21:10-01:15</t>
  </si>
  <si>
    <t>~87% coverage at phase 0.46 and at a distance of 385.000 km</t>
  </si>
  <si>
    <t>21:00-22:40</t>
  </si>
  <si>
    <t>21:00-23:00</t>
  </si>
  <si>
    <t>20:20-21:35</t>
  </si>
  <si>
    <t>20:20-22:00</t>
  </si>
  <si>
    <t>19:35-20:35</t>
  </si>
  <si>
    <t>19:35-21:20</t>
  </si>
  <si>
    <t>21:15-22:00</t>
  </si>
  <si>
    <t>21:15-22:55</t>
  </si>
  <si>
    <t>21:15-23:25</t>
  </si>
  <si>
    <t>21:15-23:50</t>
  </si>
  <si>
    <t>10% lost due to sporadic cloudiness</t>
  </si>
  <si>
    <t>78% lost due to cloudiness</t>
  </si>
  <si>
    <t>59% lost to due cloudiness; telescope pointed up to 11 deg elevation</t>
  </si>
  <si>
    <t>55% lost due to cloudiness; telescope pointed up to 10.5 deg elevation</t>
  </si>
  <si>
    <t>Jun-22</t>
  </si>
  <si>
    <t>Observations lost due to COVID</t>
  </si>
  <si>
    <t>03:20-06:00</t>
  </si>
  <si>
    <t>03:50-06:00</t>
  </si>
  <si>
    <t>21:00-22:00</t>
  </si>
  <si>
    <t>Jul-22</t>
  </si>
  <si>
    <t>21:00-22:20</t>
  </si>
  <si>
    <t xml:space="preserve"> good</t>
  </si>
  <si>
    <t>1 val + 2 susp</t>
  </si>
  <si>
    <t>53% lost due to cloudiness; telescope pointed up to 10.5 elevation</t>
  </si>
  <si>
    <t>telescope pointed up to 10.5 elevation</t>
  </si>
  <si>
    <t>76.6% coverage at phase 0.43 and at a distance of 378.000 km; telescope pointed up to 10.5 elevation</t>
  </si>
  <si>
    <t>96% coverage at phase 0.42 and at a distance of 400.127 km</t>
  </si>
  <si>
    <t>Aug-22</t>
  </si>
  <si>
    <t>20% lost due to cloudiness; telescope pointed up to 10.5 elevation</t>
  </si>
  <si>
    <t>89% coverage at phase 0.4 and at a distance of 398.969 km</t>
  </si>
  <si>
    <t>88% lost due to cloudiness</t>
  </si>
  <si>
    <t>61% lost due to cloudiness</t>
  </si>
  <si>
    <t>Sep-22</t>
  </si>
  <si>
    <t>38% lost due to cloudiness; telescope pointed up to 10.5 elevation</t>
  </si>
  <si>
    <t>36% lost due to cloudiness; saharian dust; telescope pointed up to 10.5 elevation</t>
  </si>
  <si>
    <t>18:55-20:15</t>
  </si>
  <si>
    <t>17:55-20:15</t>
  </si>
  <si>
    <t>17:55-21:30</t>
  </si>
  <si>
    <t>03:55-06:45</t>
  </si>
  <si>
    <t>05:00-06:45</t>
  </si>
  <si>
    <t>06:10-06:45</t>
  </si>
  <si>
    <t>17:35-19:20</t>
  </si>
  <si>
    <t>17:35-22:00</t>
  </si>
  <si>
    <t>02:40-07:15</t>
  </si>
  <si>
    <t>03:45-07:15</t>
  </si>
  <si>
    <t>05:00-07:15</t>
  </si>
  <si>
    <t>17:40-19:35</t>
  </si>
  <si>
    <t>17:40-21:00</t>
  </si>
  <si>
    <t>17:40-22:10</t>
  </si>
  <si>
    <t>03:50-07:20</t>
  </si>
  <si>
    <t>06:45-07:20</t>
  </si>
  <si>
    <t>18:10-19:50</t>
  </si>
  <si>
    <t>18:10-21:10</t>
  </si>
  <si>
    <t>18:10-22:15</t>
  </si>
  <si>
    <t>18:10-23:20</t>
  </si>
  <si>
    <t>04:20-06:55</t>
  </si>
  <si>
    <t>05:45-06:55</t>
  </si>
  <si>
    <t>18:40-19:50</t>
  </si>
  <si>
    <t>18:40-22:10</t>
  </si>
  <si>
    <t>18:40-23:15</t>
  </si>
  <si>
    <t>18:40-00:20</t>
  </si>
  <si>
    <t>No time between 15-17/3/23</t>
  </si>
  <si>
    <t>19:10-20:55</t>
  </si>
  <si>
    <t>19:10-22:00</t>
  </si>
  <si>
    <t>20:10-00:10</t>
  </si>
  <si>
    <t>20:10-01:10</t>
  </si>
  <si>
    <t>84% coverage at phase 0.38 and at a distance of 398.000 km</t>
  </si>
  <si>
    <t>14% lost due to cloudiness</t>
  </si>
  <si>
    <t>5 val</t>
  </si>
  <si>
    <t>2 val + 4 susp</t>
  </si>
  <si>
    <t>29% lost due to r camera disconnection; telescope pointed up to 10.1 elevation; bad seeing</t>
  </si>
  <si>
    <t>4 val + 7 susp</t>
  </si>
  <si>
    <t>telescope pointed up to 10.1 elevation</t>
  </si>
  <si>
    <t>80% coverage at phase 0.45 and at a distance of 368.000 km; 80% lost due to cloudiness</t>
  </si>
  <si>
    <t>Oct-22</t>
  </si>
  <si>
    <t>1 val + 4 susp</t>
  </si>
  <si>
    <t>93% lost due to cloudiness</t>
  </si>
  <si>
    <t>41% lost due to cloudiness</t>
  </si>
  <si>
    <t>Nov-22</t>
  </si>
  <si>
    <t>60% coverage at phase 0.435 and at a distance of 394.000 km; 32% lost due to cloudiness</t>
  </si>
  <si>
    <t>49% lost due to cloudiness and high humidity</t>
  </si>
  <si>
    <t>Dec-22</t>
  </si>
  <si>
    <t>~79% coverage at phase 0.4 and at a distance of 373.000 km</t>
  </si>
  <si>
    <t>Jan-23</t>
  </si>
  <si>
    <t>No time between 14-17/4/23</t>
  </si>
  <si>
    <t>05:15-05:55</t>
  </si>
  <si>
    <t>distance: 368093 km</t>
  </si>
  <si>
    <t>20:35-21:50</t>
  </si>
  <si>
    <t>20:35-22:55</t>
  </si>
  <si>
    <t>20:35-23:50</t>
  </si>
  <si>
    <t>20:35-00:50</t>
  </si>
  <si>
    <t>20:35-01:30</t>
  </si>
  <si>
    <t>21:00-22:35</t>
  </si>
  <si>
    <t>21:00-23:25</t>
  </si>
  <si>
    <t>21:00-00:10</t>
  </si>
  <si>
    <t>21:00-00:45</t>
  </si>
  <si>
    <t>21:00-01:15</t>
  </si>
  <si>
    <t>05:15-05:40</t>
  </si>
  <si>
    <t>04:20-05:40</t>
  </si>
  <si>
    <t>04:45-05:40</t>
  </si>
  <si>
    <t>21:20-22:40</t>
  </si>
  <si>
    <t>21:20-23:15</t>
  </si>
  <si>
    <t>21:20-23:40</t>
  </si>
  <si>
    <t>21:20-00:05</t>
  </si>
  <si>
    <t>03:15-05:50</t>
  </si>
  <si>
    <t>03:45-05:50</t>
  </si>
  <si>
    <t>04:25-05:50</t>
  </si>
  <si>
    <t>05:05-05:50</t>
  </si>
  <si>
    <t>21:15-22:30</t>
  </si>
  <si>
    <t>20:35-21:20</t>
  </si>
  <si>
    <t>20:35-22:25</t>
  </si>
  <si>
    <t>Feb-23</t>
  </si>
  <si>
    <t>Mar-23</t>
  </si>
  <si>
    <t>28% lost due to cloudiness</t>
  </si>
  <si>
    <t>79% lost due to cloudiness</t>
  </si>
  <si>
    <t>56% lost due to cloudiness</t>
  </si>
  <si>
    <t>Apr-23</t>
  </si>
  <si>
    <t>40% lost due to cloudiness</t>
  </si>
  <si>
    <t>Peirazw to pososto sthn Q ώστε στην S να βγαίνει το % του observed (G)</t>
  </si>
  <si>
    <t>68.5% coverage at phase 0.43 and at a distance of 399.000 km; 19% lost due to cloudiness</t>
  </si>
  <si>
    <t>May-23</t>
  </si>
  <si>
    <t>35% lost due to high humidity levels</t>
  </si>
  <si>
    <t>high humidity levels</t>
  </si>
  <si>
    <t>32% lost due to cloudiness</t>
  </si>
  <si>
    <t>82% lost due to cloudiness</t>
  </si>
  <si>
    <t>Jun-23</t>
  </si>
  <si>
    <t>100% lost due to electrical power failure</t>
  </si>
  <si>
    <t>30% lost due to telescope's technical issues</t>
  </si>
  <si>
    <t>20% lost due to camera's technical issues</t>
  </si>
  <si>
    <t>extreme heat wave</t>
  </si>
  <si>
    <t>20% lost due to network technical issues</t>
  </si>
  <si>
    <t>Jul-23</t>
  </si>
  <si>
    <t>92% lost due to cloudiness</t>
  </si>
  <si>
    <t>02:25-06:15</t>
  </si>
  <si>
    <t>03:00-06:15</t>
  </si>
  <si>
    <t>03:45-06:15</t>
  </si>
  <si>
    <t>04:35-06:15</t>
  </si>
  <si>
    <t>05:30-06:15</t>
  </si>
  <si>
    <t>15% lost due to cloudiness</t>
  </si>
  <si>
    <t>Aug-23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</si>
</sst>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F800]dddd\,\ mmmm\ dd\,\ yyyy"/>
    <numFmt numFmtId="165" formatCode="0.000"/>
    <numFmt numFmtId="166" formatCode="0.0"/>
  </numFmts>
  <fonts count="11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161"/>
      <scheme val="minor"/>
    </font>
    <font>
      <sz val="12"/>
      <color theme="1"/>
      <name val="Calibri"/>
      <family val="2"/>
      <charset val="161"/>
      <scheme val="minor"/>
    </font>
    <font>
      <b/>
      <sz val="14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charset val="161"/>
      <scheme val="minor"/>
    </font>
    <font>
      <sz val="12"/>
      <name val="Calibri"/>
      <family val="2"/>
      <charset val="161"/>
      <scheme val="minor"/>
    </font>
    <font>
      <sz val="12"/>
      <color rgb="FF000000"/>
      <name val="Calibri"/>
      <family val="2"/>
      <charset val="161"/>
      <scheme val="minor"/>
    </font>
    <font>
      <sz val="12"/>
      <name val="Calibri"/>
      <family val="2"/>
      <scheme val="minor"/>
    </font>
    <font>
      <sz val="8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00CC0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FF00"/>
        <bgColor indexed="64"/>
      </patternFill>
    </fill>
  </fills>
  <borders count="1">
    <border>
      <left/>
      <right/>
      <top/>
      <bottom/>
      <diagonal/>
    </border>
  </borders>
  <cellStyleXfs count="1">
    <xf numFmtId="164" fontId="0" fillId="0" borderId="0"/>
  </cellStyleXfs>
  <cellXfs count="212">
    <xf numFmtId="164" fontId="0" fillId="0" borderId="0" xfId="0"/>
    <xf numFmtId="16" fontId="0" fillId="0" borderId="0" xfId="0" quotePrefix="1" applyNumberFormat="1"/>
    <xf numFmtId="49" fontId="2" fillId="4" borderId="0" xfId="0" applyNumberFormat="1" applyFont="1" applyFill="1" applyAlignment="1">
      <alignment horizontal="center" vertical="center" wrapText="1"/>
    </xf>
    <xf numFmtId="164" fontId="0" fillId="0" borderId="0" xfId="0" applyAlignment="1">
      <alignment horizontal="center"/>
    </xf>
    <xf numFmtId="164" fontId="0" fillId="0" borderId="0" xfId="0" quotePrefix="1"/>
    <xf numFmtId="2" fontId="0" fillId="0" borderId="0" xfId="0" applyNumberFormat="1" applyAlignment="1">
      <alignment horizontal="center"/>
    </xf>
    <xf numFmtId="2" fontId="0" fillId="0" borderId="0" xfId="0" applyNumberFormat="1"/>
    <xf numFmtId="1" fontId="0" fillId="0" borderId="0" xfId="0" applyNumberFormat="1" applyAlignment="1">
      <alignment horizontal="center"/>
    </xf>
    <xf numFmtId="1" fontId="5" fillId="0" borderId="0" xfId="0" applyNumberFormat="1" applyFont="1" applyAlignment="1">
      <alignment horizontal="center"/>
    </xf>
    <xf numFmtId="2" fontId="5" fillId="0" borderId="0" xfId="0" applyNumberFormat="1" applyFont="1" applyAlignment="1">
      <alignment horizontal="center" vertical="center"/>
    </xf>
    <xf numFmtId="164" fontId="5" fillId="0" borderId="0" xfId="0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164" fontId="2" fillId="0" borderId="0" xfId="0" applyFont="1" applyAlignment="1">
      <alignment horizontal="center" vertical="center"/>
    </xf>
    <xf numFmtId="164" fontId="2" fillId="0" borderId="0" xfId="0" quotePrefix="1" applyFont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164" fontId="6" fillId="0" borderId="0" xfId="0" applyFont="1" applyAlignment="1">
      <alignment horizontal="center" vertical="center"/>
    </xf>
    <xf numFmtId="164" fontId="7" fillId="0" borderId="0" xfId="0" applyFont="1" applyAlignment="1">
      <alignment horizontal="center" vertical="center"/>
    </xf>
    <xf numFmtId="166" fontId="2" fillId="0" borderId="0" xfId="0" applyNumberFormat="1" applyFont="1" applyAlignment="1">
      <alignment horizontal="center" vertical="center"/>
    </xf>
    <xf numFmtId="164" fontId="7" fillId="0" borderId="0" xfId="0" quotePrefix="1" applyFont="1" applyAlignment="1">
      <alignment horizontal="center" vertical="center"/>
    </xf>
    <xf numFmtId="164" fontId="5" fillId="0" borderId="0" xfId="0" applyFont="1"/>
    <xf numFmtId="166" fontId="5" fillId="0" borderId="0" xfId="0" applyNumberFormat="1" applyFont="1" applyAlignment="1">
      <alignment horizontal="center" vertical="center"/>
    </xf>
    <xf numFmtId="164" fontId="5" fillId="0" borderId="0" xfId="0" applyFont="1" applyAlignment="1">
      <alignment vertical="center"/>
    </xf>
    <xf numFmtId="166" fontId="5" fillId="0" borderId="0" xfId="0" applyNumberFormat="1" applyFont="1" applyAlignment="1">
      <alignment horizontal="center"/>
    </xf>
    <xf numFmtId="1" fontId="5" fillId="8" borderId="0" xfId="0" applyNumberFormat="1" applyFont="1" applyFill="1" applyAlignment="1">
      <alignment horizontal="center"/>
    </xf>
    <xf numFmtId="166" fontId="5" fillId="8" borderId="0" xfId="0" applyNumberFormat="1" applyFont="1" applyFill="1" applyAlignment="1">
      <alignment horizontal="center"/>
    </xf>
    <xf numFmtId="164" fontId="5" fillId="0" borderId="0" xfId="0" applyFont="1" applyAlignment="1">
      <alignment horizontal="left" vertical="center"/>
    </xf>
    <xf numFmtId="2" fontId="2" fillId="0" borderId="0" xfId="0" applyNumberFormat="1" applyFont="1" applyAlignment="1">
      <alignment vertical="center"/>
    </xf>
    <xf numFmtId="2" fontId="1" fillId="0" borderId="0" xfId="0" applyNumberFormat="1" applyFont="1" applyAlignment="1">
      <alignment horizontal="center" vertical="center"/>
    </xf>
    <xf numFmtId="164" fontId="2" fillId="0" borderId="0" xfId="0" applyFont="1" applyAlignment="1">
      <alignment vertical="center"/>
    </xf>
    <xf numFmtId="1" fontId="5" fillId="0" borderId="0" xfId="0" applyNumberFormat="1" applyFont="1" applyAlignment="1">
      <alignment vertical="center"/>
    </xf>
    <xf numFmtId="2" fontId="5" fillId="0" borderId="0" xfId="0" applyNumberFormat="1" applyFont="1" applyAlignment="1">
      <alignment vertical="center"/>
    </xf>
    <xf numFmtId="2" fontId="5" fillId="5" borderId="0" xfId="0" applyNumberFormat="1" applyFont="1" applyFill="1" applyAlignment="1">
      <alignment horizontal="center" vertical="center"/>
    </xf>
    <xf numFmtId="2" fontId="5" fillId="8" borderId="0" xfId="0" applyNumberFormat="1" applyFont="1" applyFill="1" applyAlignment="1">
      <alignment horizontal="center" vertical="center"/>
    </xf>
    <xf numFmtId="164" fontId="5" fillId="0" borderId="0" xfId="0" applyFont="1" applyAlignment="1">
      <alignment horizontal="justify" vertical="center" wrapText="1"/>
    </xf>
    <xf numFmtId="164" fontId="5" fillId="0" borderId="0" xfId="0" applyFont="1" applyAlignment="1">
      <alignment horizontal="center" vertical="center" wrapText="1"/>
    </xf>
    <xf numFmtId="165" fontId="5" fillId="0" borderId="0" xfId="0" applyNumberFormat="1" applyFont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 wrapText="1"/>
    </xf>
    <xf numFmtId="49" fontId="5" fillId="0" borderId="0" xfId="0" applyNumberFormat="1" applyFont="1" applyAlignment="1">
      <alignment horizontal="justify" vertical="center" wrapText="1"/>
    </xf>
    <xf numFmtId="164" fontId="5" fillId="4" borderId="0" xfId="0" applyFont="1" applyFill="1" applyAlignment="1">
      <alignment horizontal="justify" vertical="center" wrapText="1"/>
    </xf>
    <xf numFmtId="164" fontId="5" fillId="4" borderId="0" xfId="0" applyFont="1" applyFill="1" applyAlignment="1">
      <alignment horizontal="center" vertical="center" wrapText="1"/>
    </xf>
    <xf numFmtId="165" fontId="5" fillId="4" borderId="0" xfId="0" applyNumberFormat="1" applyFont="1" applyFill="1" applyAlignment="1">
      <alignment horizontal="center" vertical="center" wrapText="1"/>
    </xf>
    <xf numFmtId="49" fontId="5" fillId="4" borderId="0" xfId="0" applyNumberFormat="1" applyFont="1" applyFill="1" applyAlignment="1">
      <alignment horizontal="center" vertical="center" wrapText="1"/>
    </xf>
    <xf numFmtId="164" fontId="5" fillId="8" borderId="0" xfId="0" applyFont="1" applyFill="1" applyAlignment="1">
      <alignment horizontal="justify" vertical="center" wrapText="1"/>
    </xf>
    <xf numFmtId="164" fontId="5" fillId="8" borderId="0" xfId="0" applyFont="1" applyFill="1" applyAlignment="1">
      <alignment horizontal="center" vertical="center" wrapText="1"/>
    </xf>
    <xf numFmtId="165" fontId="5" fillId="8" borderId="0" xfId="0" applyNumberFormat="1" applyFont="1" applyFill="1" applyAlignment="1">
      <alignment horizontal="center" vertical="center" wrapText="1"/>
    </xf>
    <xf numFmtId="49" fontId="5" fillId="8" borderId="0" xfId="0" applyNumberFormat="1" applyFont="1" applyFill="1" applyAlignment="1">
      <alignment horizontal="center" vertical="center" wrapText="1"/>
    </xf>
    <xf numFmtId="1" fontId="5" fillId="8" borderId="0" xfId="0" applyNumberFormat="1" applyFont="1" applyFill="1" applyAlignment="1">
      <alignment horizontal="center" vertical="center"/>
    </xf>
    <xf numFmtId="164" fontId="5" fillId="8" borderId="0" xfId="0" applyFont="1" applyFill="1" applyAlignment="1">
      <alignment vertical="center"/>
    </xf>
    <xf numFmtId="2" fontId="5" fillId="8" borderId="0" xfId="0" applyNumberFormat="1" applyFont="1" applyFill="1" applyAlignment="1">
      <alignment vertical="center"/>
    </xf>
    <xf numFmtId="166" fontId="5" fillId="8" borderId="0" xfId="0" applyNumberFormat="1" applyFont="1" applyFill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164" fontId="5" fillId="5" borderId="0" xfId="0" applyFont="1" applyFill="1" applyAlignment="1">
      <alignment horizontal="justify" vertical="center" wrapText="1"/>
    </xf>
    <xf numFmtId="49" fontId="5" fillId="7" borderId="0" xfId="0" applyNumberFormat="1" applyFont="1" applyFill="1" applyAlignment="1">
      <alignment horizontal="center" vertical="center" wrapText="1"/>
    </xf>
    <xf numFmtId="49" fontId="5" fillId="0" borderId="0" xfId="0" applyNumberFormat="1" applyFont="1" applyAlignment="1">
      <alignment vertical="center"/>
    </xf>
    <xf numFmtId="49" fontId="5" fillId="0" borderId="0" xfId="0" applyNumberFormat="1" applyFont="1" applyAlignment="1">
      <alignment horizontal="left" vertical="center" wrapText="1"/>
    </xf>
    <xf numFmtId="49" fontId="5" fillId="4" borderId="0" xfId="0" applyNumberFormat="1" applyFont="1" applyFill="1" applyAlignment="1">
      <alignment horizontal="justify" vertical="center" wrapText="1"/>
    </xf>
    <xf numFmtId="164" fontId="5" fillId="0" borderId="0" xfId="0" applyFont="1" applyAlignment="1">
      <alignment horizontal="justify" vertical="top" wrapText="1"/>
    </xf>
    <xf numFmtId="164" fontId="5" fillId="0" borderId="0" xfId="0" applyFont="1" applyAlignment="1">
      <alignment horizontal="center" vertical="top" wrapText="1"/>
    </xf>
    <xf numFmtId="165" fontId="5" fillId="0" borderId="0" xfId="0" applyNumberFormat="1" applyFont="1" applyAlignment="1">
      <alignment horizontal="center" vertical="top" wrapText="1"/>
    </xf>
    <xf numFmtId="49" fontId="5" fillId="0" borderId="0" xfId="0" applyNumberFormat="1" applyFont="1" applyAlignment="1">
      <alignment horizontal="center" vertical="top" wrapText="1"/>
    </xf>
    <xf numFmtId="164" fontId="5" fillId="8" borderId="0" xfId="0" applyFont="1" applyFill="1" applyAlignment="1">
      <alignment horizontal="justify" vertical="top" wrapText="1"/>
    </xf>
    <xf numFmtId="164" fontId="5" fillId="8" borderId="0" xfId="0" applyFont="1" applyFill="1" applyAlignment="1">
      <alignment horizontal="center" vertical="top" wrapText="1"/>
    </xf>
    <xf numFmtId="165" fontId="5" fillId="8" borderId="0" xfId="0" applyNumberFormat="1" applyFont="1" applyFill="1" applyAlignment="1">
      <alignment horizontal="center" vertical="top" wrapText="1"/>
    </xf>
    <xf numFmtId="49" fontId="5" fillId="8" borderId="0" xfId="0" applyNumberFormat="1" applyFont="1" applyFill="1" applyAlignment="1">
      <alignment horizontal="center" vertical="top" wrapText="1"/>
    </xf>
    <xf numFmtId="49" fontId="5" fillId="8" borderId="0" xfId="0" applyNumberFormat="1" applyFont="1" applyFill="1" applyAlignment="1">
      <alignment horizontal="center" wrapText="1"/>
    </xf>
    <xf numFmtId="164" fontId="5" fillId="8" borderId="0" xfId="0" applyFont="1" applyFill="1"/>
    <xf numFmtId="164" fontId="5" fillId="4" borderId="0" xfId="0" applyFont="1" applyFill="1" applyAlignment="1">
      <alignment horizontal="justify" vertical="top" wrapText="1"/>
    </xf>
    <xf numFmtId="164" fontId="5" fillId="4" borderId="0" xfId="0" applyFont="1" applyFill="1" applyAlignment="1">
      <alignment horizontal="center" vertical="top" wrapText="1"/>
    </xf>
    <xf numFmtId="165" fontId="5" fillId="4" borderId="0" xfId="0" applyNumberFormat="1" applyFont="1" applyFill="1" applyAlignment="1">
      <alignment horizontal="center" vertical="top" wrapText="1"/>
    </xf>
    <xf numFmtId="49" fontId="5" fillId="4" borderId="0" xfId="0" applyNumberFormat="1" applyFont="1" applyFill="1" applyAlignment="1">
      <alignment horizontal="center" vertical="top" wrapText="1"/>
    </xf>
    <xf numFmtId="49" fontId="5" fillId="4" borderId="0" xfId="0" applyNumberFormat="1" applyFont="1" applyFill="1" applyAlignment="1">
      <alignment horizontal="center" wrapText="1"/>
    </xf>
    <xf numFmtId="164" fontId="5" fillId="6" borderId="0" xfId="0" applyFont="1" applyFill="1" applyAlignment="1">
      <alignment horizontal="center" vertical="top" wrapText="1"/>
    </xf>
    <xf numFmtId="164" fontId="5" fillId="7" borderId="0" xfId="0" applyFont="1" applyFill="1" applyAlignment="1">
      <alignment horizontal="justify" vertical="top" wrapText="1"/>
    </xf>
    <xf numFmtId="164" fontId="5" fillId="7" borderId="0" xfId="0" applyFont="1" applyFill="1" applyAlignment="1">
      <alignment horizontal="center" vertical="top" wrapText="1"/>
    </xf>
    <xf numFmtId="165" fontId="5" fillId="7" borderId="0" xfId="0" applyNumberFormat="1" applyFont="1" applyFill="1" applyAlignment="1">
      <alignment horizontal="center" vertical="top" wrapText="1"/>
    </xf>
    <xf numFmtId="49" fontId="5" fillId="7" borderId="0" xfId="0" applyNumberFormat="1" applyFont="1" applyFill="1" applyAlignment="1">
      <alignment horizontal="center"/>
    </xf>
    <xf numFmtId="164" fontId="5" fillId="7" borderId="0" xfId="0" applyFont="1" applyFill="1"/>
    <xf numFmtId="165" fontId="5" fillId="8" borderId="0" xfId="0" applyNumberFormat="1" applyFont="1" applyFill="1" applyAlignment="1">
      <alignment horizontal="center"/>
    </xf>
    <xf numFmtId="165" fontId="5" fillId="0" borderId="0" xfId="0" applyNumberFormat="1" applyFont="1" applyAlignment="1">
      <alignment horizontal="center"/>
    </xf>
    <xf numFmtId="49" fontId="5" fillId="0" borderId="0" xfId="0" applyNumberFormat="1" applyFont="1" applyAlignment="1">
      <alignment horizontal="center"/>
    </xf>
    <xf numFmtId="164" fontId="5" fillId="0" borderId="0" xfId="0" applyFont="1" applyAlignment="1">
      <alignment horizontal="left"/>
    </xf>
    <xf numFmtId="164" fontId="5" fillId="0" borderId="0" xfId="0" applyFont="1" applyAlignment="1">
      <alignment horizontal="left" vertical="top" wrapText="1"/>
    </xf>
    <xf numFmtId="165" fontId="5" fillId="7" borderId="0" xfId="0" applyNumberFormat="1" applyFont="1" applyFill="1" applyAlignment="1">
      <alignment horizontal="center"/>
    </xf>
    <xf numFmtId="49" fontId="5" fillId="8" borderId="0" xfId="0" applyNumberFormat="1" applyFont="1" applyFill="1" applyAlignment="1">
      <alignment horizontal="center"/>
    </xf>
    <xf numFmtId="164" fontId="5" fillId="8" borderId="0" xfId="0" applyFont="1" applyFill="1" applyAlignment="1">
      <alignment horizontal="left"/>
    </xf>
    <xf numFmtId="164" fontId="5" fillId="0" borderId="0" xfId="0" applyFont="1" applyAlignment="1">
      <alignment horizontal="center"/>
    </xf>
    <xf numFmtId="164" fontId="5" fillId="7" borderId="0" xfId="0" applyFont="1" applyFill="1" applyAlignment="1">
      <alignment horizontal="left" vertical="center"/>
    </xf>
    <xf numFmtId="164" fontId="5" fillId="7" borderId="0" xfId="0" applyFont="1" applyFill="1" applyAlignment="1">
      <alignment horizontal="center" vertical="center"/>
    </xf>
    <xf numFmtId="165" fontId="5" fillId="7" borderId="0" xfId="0" applyNumberFormat="1" applyFont="1" applyFill="1" applyAlignment="1">
      <alignment horizontal="center" vertical="center"/>
    </xf>
    <xf numFmtId="164" fontId="5" fillId="8" borderId="0" xfId="0" applyFont="1" applyFill="1" applyAlignment="1">
      <alignment horizontal="left" vertical="center"/>
    </xf>
    <xf numFmtId="164" fontId="5" fillId="8" borderId="0" xfId="0" applyFont="1" applyFill="1" applyAlignment="1">
      <alignment horizontal="center" vertical="center"/>
    </xf>
    <xf numFmtId="165" fontId="5" fillId="8" borderId="0" xfId="0" applyNumberFormat="1" applyFont="1" applyFill="1" applyAlignment="1">
      <alignment horizontal="center" vertical="center"/>
    </xf>
    <xf numFmtId="165" fontId="5" fillId="0" borderId="0" xfId="0" applyNumberFormat="1" applyFont="1" applyAlignment="1">
      <alignment horizontal="center" vertical="center"/>
    </xf>
    <xf numFmtId="164" fontId="5" fillId="8" borderId="0" xfId="0" applyFont="1" applyFill="1" applyAlignment="1">
      <alignment horizontal="left" vertical="top" wrapText="1"/>
    </xf>
    <xf numFmtId="166" fontId="5" fillId="0" borderId="0" xfId="0" applyNumberFormat="1" applyFont="1"/>
    <xf numFmtId="166" fontId="5" fillId="0" borderId="0" xfId="0" applyNumberFormat="1" applyFont="1" applyAlignment="1">
      <alignment vertical="center"/>
    </xf>
    <xf numFmtId="164" fontId="5" fillId="7" borderId="0" xfId="0" applyFont="1" applyFill="1" applyAlignment="1">
      <alignment horizontal="left" vertical="top" wrapText="1"/>
    </xf>
    <xf numFmtId="2" fontId="5" fillId="0" borderId="0" xfId="0" applyNumberFormat="1" applyFont="1" applyAlignment="1">
      <alignment horizontal="center"/>
    </xf>
    <xf numFmtId="2" fontId="5" fillId="7" borderId="0" xfId="0" applyNumberFormat="1" applyFont="1" applyFill="1" applyAlignment="1">
      <alignment horizontal="center" vertical="top" wrapText="1"/>
    </xf>
    <xf numFmtId="2" fontId="5" fillId="8" borderId="0" xfId="0" applyNumberFormat="1" applyFont="1" applyFill="1" applyAlignment="1">
      <alignment horizontal="center" vertical="top" wrapText="1"/>
    </xf>
    <xf numFmtId="2" fontId="5" fillId="8" borderId="0" xfId="0" applyNumberFormat="1" applyFont="1" applyFill="1" applyAlignment="1">
      <alignment horizontal="center"/>
    </xf>
    <xf numFmtId="2" fontId="5" fillId="0" borderId="0" xfId="0" applyNumberFormat="1" applyFont="1" applyAlignment="1">
      <alignment horizontal="center" vertical="top" wrapText="1"/>
    </xf>
    <xf numFmtId="2" fontId="5" fillId="0" borderId="0" xfId="0" applyNumberFormat="1" applyFont="1"/>
    <xf numFmtId="2" fontId="4" fillId="0" borderId="0" xfId="0" applyNumberFormat="1" applyFont="1" applyAlignment="1">
      <alignment horizontal="center"/>
    </xf>
    <xf numFmtId="166" fontId="4" fillId="0" borderId="0" xfId="0" applyNumberFormat="1" applyFont="1" applyAlignment="1">
      <alignment horizontal="center"/>
    </xf>
    <xf numFmtId="164" fontId="2" fillId="0" borderId="0" xfId="0" applyFont="1" applyAlignment="1">
      <alignment horizontal="left" vertical="center"/>
    </xf>
    <xf numFmtId="0" fontId="2" fillId="0" borderId="0" xfId="0" applyNumberFormat="1" applyFont="1" applyAlignment="1">
      <alignment horizontal="center" vertical="center"/>
    </xf>
    <xf numFmtId="164" fontId="2" fillId="0" borderId="0" xfId="0" applyFont="1" applyAlignment="1">
      <alignment horizontal="center" vertical="center" wrapText="1"/>
    </xf>
    <xf numFmtId="164" fontId="0" fillId="5" borderId="0" xfId="0" applyFill="1" applyAlignment="1">
      <alignment horizontal="center"/>
    </xf>
    <xf numFmtId="2" fontId="0" fillId="5" borderId="0" xfId="0" applyNumberFormat="1" applyFill="1" applyAlignment="1">
      <alignment horizontal="center"/>
    </xf>
    <xf numFmtId="165" fontId="2" fillId="0" borderId="0" xfId="0" applyNumberFormat="1" applyFont="1" applyAlignment="1">
      <alignment horizontal="center" vertical="center"/>
    </xf>
    <xf numFmtId="0" fontId="5" fillId="0" borderId="0" xfId="0" applyNumberFormat="1" applyFont="1" applyAlignment="1">
      <alignment horizontal="center" vertical="top" wrapText="1"/>
    </xf>
    <xf numFmtId="1" fontId="5" fillId="9" borderId="0" xfId="0" applyNumberFormat="1" applyFont="1" applyFill="1" applyAlignment="1">
      <alignment horizontal="center" vertical="center"/>
    </xf>
    <xf numFmtId="164" fontId="4" fillId="0" borderId="0" xfId="0" applyFont="1" applyAlignment="1">
      <alignment horizontal="left"/>
    </xf>
    <xf numFmtId="1" fontId="3" fillId="5" borderId="0" xfId="0" applyNumberFormat="1" applyFont="1" applyFill="1" applyAlignment="1">
      <alignment vertical="center"/>
    </xf>
    <xf numFmtId="49" fontId="5" fillId="7" borderId="0" xfId="0" applyNumberFormat="1" applyFont="1" applyFill="1" applyAlignment="1">
      <alignment horizontal="center" vertical="center"/>
    </xf>
    <xf numFmtId="49" fontId="5" fillId="8" borderId="0" xfId="0" applyNumberFormat="1" applyFont="1" applyFill="1" applyAlignment="1">
      <alignment horizontal="center" vertical="center"/>
    </xf>
    <xf numFmtId="49" fontId="5" fillId="7" borderId="0" xfId="0" applyNumberFormat="1" applyFont="1" applyFill="1" applyAlignment="1">
      <alignment horizontal="center" vertical="top" wrapText="1"/>
    </xf>
    <xf numFmtId="0" fontId="5" fillId="8" borderId="0" xfId="0" applyNumberFormat="1" applyFont="1" applyFill="1" applyAlignment="1">
      <alignment horizontal="center" vertical="top" wrapText="1"/>
    </xf>
    <xf numFmtId="1" fontId="5" fillId="0" borderId="0" xfId="0" applyNumberFormat="1" applyFont="1" applyAlignment="1">
      <alignment horizontal="center" vertical="top" wrapText="1"/>
    </xf>
    <xf numFmtId="1" fontId="0" fillId="5" borderId="0" xfId="0" applyNumberFormat="1" applyFill="1" applyAlignment="1">
      <alignment horizontal="center"/>
    </xf>
    <xf numFmtId="164" fontId="6" fillId="0" borderId="0" xfId="0" applyFont="1" applyAlignment="1">
      <alignment horizontal="left" vertical="center"/>
    </xf>
    <xf numFmtId="1" fontId="1" fillId="0" borderId="0" xfId="0" applyNumberFormat="1" applyFont="1" applyAlignment="1">
      <alignment horizontal="center" vertical="center"/>
    </xf>
    <xf numFmtId="1" fontId="2" fillId="0" borderId="0" xfId="0" applyNumberFormat="1" applyFont="1" applyAlignment="1">
      <alignment vertical="center"/>
    </xf>
    <xf numFmtId="164" fontId="2" fillId="0" borderId="0" xfId="0" applyFont="1" applyAlignment="1">
      <alignment horizontal="justify" vertical="center" wrapText="1"/>
    </xf>
    <xf numFmtId="165" fontId="2" fillId="0" borderId="0" xfId="0" applyNumberFormat="1" applyFont="1" applyAlignment="1">
      <alignment horizontal="center" vertical="center" wrapText="1"/>
    </xf>
    <xf numFmtId="1" fontId="2" fillId="0" borderId="0" xfId="0" applyNumberFormat="1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164" fontId="2" fillId="4" borderId="0" xfId="0" applyFont="1" applyFill="1" applyAlignment="1">
      <alignment horizontal="justify" vertical="center" wrapText="1"/>
    </xf>
    <xf numFmtId="164" fontId="2" fillId="4" borderId="0" xfId="0" applyFont="1" applyFill="1" applyAlignment="1">
      <alignment horizontal="center" vertical="center" wrapText="1"/>
    </xf>
    <xf numFmtId="165" fontId="2" fillId="4" borderId="0" xfId="0" applyNumberFormat="1" applyFont="1" applyFill="1" applyAlignment="1">
      <alignment horizontal="center" vertical="center" wrapText="1"/>
    </xf>
    <xf numFmtId="1" fontId="2" fillId="4" borderId="0" xfId="0" applyNumberFormat="1" applyFont="1" applyFill="1" applyAlignment="1">
      <alignment horizontal="center" vertical="center" wrapText="1"/>
    </xf>
    <xf numFmtId="49" fontId="2" fillId="0" borderId="0" xfId="0" applyNumberFormat="1" applyFont="1" applyAlignment="1">
      <alignment horizontal="justify" vertical="center" wrapText="1"/>
    </xf>
    <xf numFmtId="1" fontId="1" fillId="4" borderId="0" xfId="0" applyNumberFormat="1" applyFont="1" applyFill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/>
    </xf>
    <xf numFmtId="49" fontId="2" fillId="7" borderId="0" xfId="0" applyNumberFormat="1" applyFont="1" applyFill="1" applyAlignment="1">
      <alignment horizontal="center" vertical="center" wrapText="1"/>
    </xf>
    <xf numFmtId="49" fontId="2" fillId="0" borderId="0" xfId="0" applyNumberFormat="1" applyFont="1" applyAlignment="1">
      <alignment vertical="center"/>
    </xf>
    <xf numFmtId="49" fontId="2" fillId="0" borderId="0" xfId="0" applyNumberFormat="1" applyFont="1" applyAlignment="1">
      <alignment horizontal="left" vertical="center" wrapText="1"/>
    </xf>
    <xf numFmtId="49" fontId="2" fillId="4" borderId="0" xfId="0" applyNumberFormat="1" applyFont="1" applyFill="1" applyAlignment="1">
      <alignment horizontal="justify" vertical="center" wrapText="1"/>
    </xf>
    <xf numFmtId="164" fontId="2" fillId="5" borderId="0" xfId="0" applyFont="1" applyFill="1" applyAlignment="1">
      <alignment horizontal="justify" vertical="center" wrapText="1"/>
    </xf>
    <xf numFmtId="0" fontId="2" fillId="0" borderId="0" xfId="0" applyNumberFormat="1" applyFont="1" applyAlignment="1">
      <alignment horizontal="center" vertical="center" wrapText="1"/>
    </xf>
    <xf numFmtId="0" fontId="2" fillId="7" borderId="0" xfId="0" applyNumberFormat="1" applyFont="1" applyFill="1" applyAlignment="1">
      <alignment horizontal="center" vertical="center" wrapText="1"/>
    </xf>
    <xf numFmtId="0" fontId="2" fillId="4" borderId="0" xfId="0" applyNumberFormat="1" applyFont="1" applyFill="1" applyAlignment="1">
      <alignment horizontal="center" vertical="center" wrapText="1"/>
    </xf>
    <xf numFmtId="164" fontId="2" fillId="6" borderId="0" xfId="0" applyFont="1" applyFill="1" applyAlignment="1">
      <alignment horizontal="center" vertical="center" wrapText="1"/>
    </xf>
    <xf numFmtId="164" fontId="2" fillId="7" borderId="0" xfId="0" applyFont="1" applyFill="1" applyAlignment="1">
      <alignment horizontal="justify" vertical="center" wrapText="1"/>
    </xf>
    <xf numFmtId="164" fontId="2" fillId="7" borderId="0" xfId="0" applyFont="1" applyFill="1" applyAlignment="1">
      <alignment horizontal="center" vertical="center" wrapText="1"/>
    </xf>
    <xf numFmtId="165" fontId="2" fillId="7" borderId="0" xfId="0" applyNumberFormat="1" applyFont="1" applyFill="1" applyAlignment="1">
      <alignment horizontal="center" vertical="center" wrapText="1"/>
    </xf>
    <xf numFmtId="1" fontId="2" fillId="7" borderId="0" xfId="0" applyNumberFormat="1" applyFont="1" applyFill="1" applyAlignment="1">
      <alignment horizontal="center" vertical="center"/>
    </xf>
    <xf numFmtId="0" fontId="2" fillId="7" borderId="0" xfId="0" applyNumberFormat="1" applyFont="1" applyFill="1" applyAlignment="1">
      <alignment horizontal="center" vertical="center"/>
    </xf>
    <xf numFmtId="49" fontId="2" fillId="7" borderId="0" xfId="0" applyNumberFormat="1" applyFont="1" applyFill="1" applyAlignment="1">
      <alignment horizontal="center" vertical="center"/>
    </xf>
    <xf numFmtId="164" fontId="2" fillId="7" borderId="0" xfId="0" applyFont="1" applyFill="1" applyAlignment="1">
      <alignment vertical="center"/>
    </xf>
    <xf numFmtId="164" fontId="2" fillId="0" borderId="0" xfId="0" applyFont="1" applyAlignment="1">
      <alignment horizontal="left" vertical="center" wrapText="1"/>
    </xf>
    <xf numFmtId="165" fontId="2" fillId="7" borderId="0" xfId="0" applyNumberFormat="1" applyFont="1" applyFill="1" applyAlignment="1">
      <alignment horizontal="center" vertical="center"/>
    </xf>
    <xf numFmtId="164" fontId="2" fillId="7" borderId="0" xfId="0" applyFont="1" applyFill="1" applyAlignment="1">
      <alignment horizontal="left" vertical="center"/>
    </xf>
    <xf numFmtId="164" fontId="2" fillId="7" borderId="0" xfId="0" applyFont="1" applyFill="1" applyAlignment="1">
      <alignment horizontal="left" vertical="center" wrapText="1"/>
    </xf>
    <xf numFmtId="166" fontId="2" fillId="0" borderId="0" xfId="0" applyNumberFormat="1" applyFont="1" applyAlignment="1">
      <alignment vertical="center"/>
    </xf>
    <xf numFmtId="164" fontId="2" fillId="7" borderId="0" xfId="0" applyFont="1" applyFill="1" applyAlignment="1">
      <alignment horizontal="center" vertical="center"/>
    </xf>
    <xf numFmtId="164" fontId="2" fillId="5" borderId="0" xfId="0" applyFont="1" applyFill="1" applyAlignment="1">
      <alignment horizontal="left" vertical="center"/>
    </xf>
    <xf numFmtId="164" fontId="2" fillId="3" borderId="0" xfId="0" applyFont="1" applyFill="1" applyAlignment="1">
      <alignment horizontal="left" vertical="center" wrapText="1"/>
    </xf>
    <xf numFmtId="164" fontId="2" fillId="3" borderId="0" xfId="0" applyFont="1" applyFill="1" applyAlignment="1">
      <alignment horizontal="center" vertical="center" wrapText="1"/>
    </xf>
    <xf numFmtId="165" fontId="2" fillId="3" borderId="0" xfId="0" applyNumberFormat="1" applyFont="1" applyFill="1" applyAlignment="1">
      <alignment horizontal="center" vertical="center"/>
    </xf>
    <xf numFmtId="1" fontId="2" fillId="3" borderId="0" xfId="0" applyNumberFormat="1" applyFont="1" applyFill="1" applyAlignment="1">
      <alignment horizontal="center" vertical="center"/>
    </xf>
    <xf numFmtId="0" fontId="2" fillId="3" borderId="0" xfId="0" applyNumberFormat="1" applyFont="1" applyFill="1" applyAlignment="1">
      <alignment horizontal="center" vertical="center"/>
    </xf>
    <xf numFmtId="49" fontId="2" fillId="3" borderId="0" xfId="0" applyNumberFormat="1" applyFont="1" applyFill="1" applyAlignment="1">
      <alignment horizontal="center" vertical="center"/>
    </xf>
    <xf numFmtId="164" fontId="2" fillId="3" borderId="0" xfId="0" applyFont="1" applyFill="1" applyAlignment="1">
      <alignment horizontal="center" vertical="center"/>
    </xf>
    <xf numFmtId="164" fontId="2" fillId="5" borderId="0" xfId="0" applyFont="1" applyFill="1" applyAlignment="1">
      <alignment vertical="center"/>
    </xf>
    <xf numFmtId="164" fontId="8" fillId="0" borderId="0" xfId="0" applyFont="1" applyAlignment="1">
      <alignment vertical="center"/>
    </xf>
    <xf numFmtId="164" fontId="6" fillId="0" borderId="0" xfId="0" applyFont="1" applyAlignment="1">
      <alignment vertical="center"/>
    </xf>
    <xf numFmtId="164" fontId="2" fillId="7" borderId="0" xfId="0" quotePrefix="1" applyFont="1" applyFill="1" applyAlignment="1">
      <alignment horizontal="center" vertical="center"/>
    </xf>
    <xf numFmtId="164" fontId="6" fillId="7" borderId="0" xfId="0" applyFont="1" applyFill="1" applyAlignment="1">
      <alignment vertical="center"/>
    </xf>
    <xf numFmtId="165" fontId="5" fillId="0" borderId="0" xfId="0" applyNumberFormat="1" applyFont="1" applyAlignment="1">
      <alignment vertical="center"/>
    </xf>
    <xf numFmtId="1" fontId="5" fillId="8" borderId="0" xfId="0" applyNumberFormat="1" applyFont="1" applyFill="1" applyAlignment="1">
      <alignment horizontal="center" vertical="top" wrapText="1"/>
    </xf>
    <xf numFmtId="165" fontId="6" fillId="0" borderId="0" xfId="0" applyNumberFormat="1" applyFont="1" applyAlignment="1">
      <alignment horizontal="center" vertical="center"/>
    </xf>
    <xf numFmtId="1" fontId="6" fillId="0" borderId="0" xfId="0" applyNumberFormat="1" applyFont="1" applyAlignment="1">
      <alignment vertical="center"/>
    </xf>
    <xf numFmtId="49" fontId="6" fillId="0" borderId="0" xfId="0" applyNumberFormat="1" applyFont="1" applyAlignment="1">
      <alignment vertical="center"/>
    </xf>
    <xf numFmtId="164" fontId="6" fillId="5" borderId="0" xfId="0" applyFont="1" applyFill="1" applyAlignment="1">
      <alignment vertical="center"/>
    </xf>
    <xf numFmtId="164" fontId="6" fillId="7" borderId="0" xfId="0" applyFont="1" applyFill="1" applyAlignment="1">
      <alignment horizontal="left" vertical="center"/>
    </xf>
    <xf numFmtId="164" fontId="6" fillId="7" borderId="0" xfId="0" applyFont="1" applyFill="1" applyAlignment="1">
      <alignment horizontal="center" vertical="center"/>
    </xf>
    <xf numFmtId="165" fontId="6" fillId="7" borderId="0" xfId="0" applyNumberFormat="1" applyFont="1" applyFill="1" applyAlignment="1">
      <alignment horizontal="center" vertical="center"/>
    </xf>
    <xf numFmtId="164" fontId="9" fillId="8" borderId="0" xfId="0" applyFont="1" applyFill="1" applyAlignment="1">
      <alignment horizontal="left" vertical="top" wrapText="1"/>
    </xf>
    <xf numFmtId="164" fontId="9" fillId="8" borderId="0" xfId="0" applyFont="1" applyFill="1" applyAlignment="1">
      <alignment horizontal="center" vertical="top" wrapText="1"/>
    </xf>
    <xf numFmtId="165" fontId="9" fillId="8" borderId="0" xfId="0" applyNumberFormat="1" applyFont="1" applyFill="1" applyAlignment="1">
      <alignment horizontal="center" vertical="top" wrapText="1"/>
    </xf>
    <xf numFmtId="1" fontId="9" fillId="8" borderId="0" xfId="0" applyNumberFormat="1" applyFont="1" applyFill="1" applyAlignment="1">
      <alignment horizontal="center" vertical="top" wrapText="1"/>
    </xf>
    <xf numFmtId="1" fontId="9" fillId="8" borderId="0" xfId="0" applyNumberFormat="1" applyFont="1" applyFill="1" applyAlignment="1">
      <alignment horizontal="center"/>
    </xf>
    <xf numFmtId="2" fontId="9" fillId="8" borderId="0" xfId="0" applyNumberFormat="1" applyFont="1" applyFill="1" applyAlignment="1">
      <alignment horizontal="center" vertical="top" wrapText="1"/>
    </xf>
    <xf numFmtId="165" fontId="9" fillId="8" borderId="0" xfId="0" applyNumberFormat="1" applyFont="1" applyFill="1" applyAlignment="1">
      <alignment horizontal="center" vertical="center"/>
    </xf>
    <xf numFmtId="164" fontId="9" fillId="8" borderId="0" xfId="0" applyFont="1" applyFill="1" applyAlignment="1">
      <alignment vertical="center"/>
    </xf>
    <xf numFmtId="1" fontId="9" fillId="8" borderId="0" xfId="0" applyNumberFormat="1" applyFont="1" applyFill="1" applyAlignment="1">
      <alignment horizontal="center" vertical="center"/>
    </xf>
    <xf numFmtId="2" fontId="9" fillId="8" borderId="0" xfId="0" applyNumberFormat="1" applyFont="1" applyFill="1" applyAlignment="1">
      <alignment horizontal="center" vertical="center"/>
    </xf>
    <xf numFmtId="164" fontId="1" fillId="0" borderId="0" xfId="0" applyFont="1" applyAlignment="1">
      <alignment horizontal="center" vertical="center" wrapText="1"/>
    </xf>
    <xf numFmtId="165" fontId="1" fillId="0" borderId="0" xfId="0" applyNumberFormat="1" applyFont="1" applyAlignment="1">
      <alignment horizontal="center" vertical="center" wrapText="1"/>
    </xf>
    <xf numFmtId="1" fontId="1" fillId="0" borderId="0" xfId="0" applyNumberFormat="1" applyFont="1" applyAlignment="1">
      <alignment horizontal="center" vertical="center" wrapText="1"/>
    </xf>
    <xf numFmtId="164" fontId="1" fillId="0" borderId="0" xfId="0" applyFont="1" applyAlignment="1">
      <alignment horizontal="center" vertical="center"/>
    </xf>
    <xf numFmtId="2" fontId="2" fillId="0" borderId="0" xfId="0" quotePrefix="1" applyNumberFormat="1" applyFont="1" applyAlignment="1">
      <alignment horizontal="center" vertical="center"/>
    </xf>
    <xf numFmtId="165" fontId="2" fillId="0" borderId="0" xfId="0" applyNumberFormat="1" applyFont="1" applyAlignment="1">
      <alignment vertical="center"/>
    </xf>
    <xf numFmtId="164" fontId="7" fillId="7" borderId="0" xfId="0" applyFont="1" applyFill="1" applyAlignment="1">
      <alignment horizontal="left" vertical="center"/>
    </xf>
    <xf numFmtId="164" fontId="7" fillId="7" borderId="0" xfId="0" applyFont="1" applyFill="1" applyAlignment="1">
      <alignment horizontal="center" vertical="center"/>
    </xf>
    <xf numFmtId="165" fontId="7" fillId="7" borderId="0" xfId="0" applyNumberFormat="1" applyFont="1" applyFill="1" applyAlignment="1">
      <alignment horizontal="center" vertical="center"/>
    </xf>
    <xf numFmtId="164" fontId="7" fillId="0" borderId="0" xfId="0" applyFont="1" applyAlignment="1">
      <alignment horizontal="left" vertical="center"/>
    </xf>
    <xf numFmtId="165" fontId="7" fillId="0" borderId="0" xfId="0" applyNumberFormat="1" applyFont="1" applyAlignment="1">
      <alignment horizontal="center" vertical="center"/>
    </xf>
    <xf numFmtId="164" fontId="1" fillId="7" borderId="0" xfId="0" applyFont="1" applyFill="1" applyAlignment="1">
      <alignment horizontal="left" vertical="center"/>
    </xf>
    <xf numFmtId="164" fontId="1" fillId="7" borderId="0" xfId="0" applyFont="1" applyFill="1" applyAlignment="1">
      <alignment horizontal="center" vertical="center"/>
    </xf>
    <xf numFmtId="165" fontId="1" fillId="7" borderId="0" xfId="0" applyNumberFormat="1" applyFont="1" applyFill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1" fontId="1" fillId="5" borderId="0" xfId="0" applyNumberFormat="1" applyFont="1" applyFill="1" applyAlignment="1">
      <alignment horizontal="center" vertical="center" wrapText="1"/>
    </xf>
    <xf numFmtId="164" fontId="1" fillId="2" borderId="0" xfId="0" applyFont="1" applyFill="1" applyAlignment="1">
      <alignment horizontal="center" vertical="center" wrapText="1"/>
    </xf>
    <xf numFmtId="164" fontId="1" fillId="0" borderId="0" xfId="0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164" fontId="5" fillId="5" borderId="0" xfId="0" applyFont="1" applyFill="1" applyAlignment="1">
      <alignment horizontal="center" vertical="center"/>
    </xf>
    <xf numFmtId="164" fontId="0" fillId="5" borderId="0" xfId="0" applyFill="1" applyAlignment="1">
      <alignment horizontal="center"/>
    </xf>
    <xf numFmtId="164" fontId="4" fillId="5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FF00"/>
      <color rgb="FF0000FF"/>
      <color rgb="FF00CC00"/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2800977464023893E-2"/>
          <c:y val="6.9827167830436354E-2"/>
          <c:w val="0.85360171357890602"/>
          <c:h val="0.65694597137621991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stat2!$A$2:$A$80</c:f>
              <c:strCache>
                <c:ptCount val="79"/>
                <c:pt idx="0">
                  <c:v>Feb-17</c:v>
                </c:pt>
                <c:pt idx="1">
                  <c:v>Mar-17</c:v>
                </c:pt>
                <c:pt idx="2">
                  <c:v>Apr-17</c:v>
                </c:pt>
                <c:pt idx="3">
                  <c:v>May-17</c:v>
                </c:pt>
                <c:pt idx="4">
                  <c:v>Jun-17</c:v>
                </c:pt>
                <c:pt idx="5">
                  <c:v>Jul-17</c:v>
                </c:pt>
                <c:pt idx="6">
                  <c:v>Aug-17</c:v>
                </c:pt>
                <c:pt idx="7">
                  <c:v>Sep-17</c:v>
                </c:pt>
                <c:pt idx="8">
                  <c:v>Oct-17</c:v>
                </c:pt>
                <c:pt idx="9">
                  <c:v>Nov-17</c:v>
                </c:pt>
                <c:pt idx="10">
                  <c:v>Dec-17</c:v>
                </c:pt>
                <c:pt idx="11">
                  <c:v>Jan-18</c:v>
                </c:pt>
                <c:pt idx="12">
                  <c:v>Feb-18</c:v>
                </c:pt>
                <c:pt idx="13">
                  <c:v>Mar-18</c:v>
                </c:pt>
                <c:pt idx="14">
                  <c:v>Apr-18</c:v>
                </c:pt>
                <c:pt idx="15">
                  <c:v>May-18</c:v>
                </c:pt>
                <c:pt idx="16">
                  <c:v>Jun-18</c:v>
                </c:pt>
                <c:pt idx="17">
                  <c:v>Jul-18</c:v>
                </c:pt>
                <c:pt idx="18">
                  <c:v>Aug-18</c:v>
                </c:pt>
                <c:pt idx="19">
                  <c:v>Sep-18</c:v>
                </c:pt>
                <c:pt idx="20">
                  <c:v>Oct-18</c:v>
                </c:pt>
                <c:pt idx="21">
                  <c:v>Nov-18</c:v>
                </c:pt>
                <c:pt idx="22">
                  <c:v>Dec-18</c:v>
                </c:pt>
                <c:pt idx="23">
                  <c:v>Jan-19</c:v>
                </c:pt>
                <c:pt idx="24">
                  <c:v>Feb-19</c:v>
                </c:pt>
                <c:pt idx="25">
                  <c:v>Mar-19</c:v>
                </c:pt>
                <c:pt idx="26">
                  <c:v>Apr-19</c:v>
                </c:pt>
                <c:pt idx="27">
                  <c:v>May-19</c:v>
                </c:pt>
                <c:pt idx="28">
                  <c:v>Jun-19</c:v>
                </c:pt>
                <c:pt idx="29">
                  <c:v>Jul-19</c:v>
                </c:pt>
                <c:pt idx="30">
                  <c:v>Aug-19</c:v>
                </c:pt>
                <c:pt idx="31">
                  <c:v>Sep-19</c:v>
                </c:pt>
                <c:pt idx="32">
                  <c:v>Oct-19</c:v>
                </c:pt>
                <c:pt idx="33">
                  <c:v>Nov-19</c:v>
                </c:pt>
                <c:pt idx="34">
                  <c:v>Dec-19</c:v>
                </c:pt>
                <c:pt idx="35">
                  <c:v>Jan-20</c:v>
                </c:pt>
                <c:pt idx="36">
                  <c:v>Feb-20</c:v>
                </c:pt>
                <c:pt idx="37">
                  <c:v>Mar-20</c:v>
                </c:pt>
                <c:pt idx="38">
                  <c:v>Apr-20</c:v>
                </c:pt>
                <c:pt idx="39">
                  <c:v>May-20</c:v>
                </c:pt>
                <c:pt idx="40">
                  <c:v>Jun-20</c:v>
                </c:pt>
                <c:pt idx="41">
                  <c:v>Jul-20</c:v>
                </c:pt>
                <c:pt idx="42">
                  <c:v>Aug-20</c:v>
                </c:pt>
                <c:pt idx="43">
                  <c:v>Sep-20</c:v>
                </c:pt>
                <c:pt idx="44">
                  <c:v>Oct-20</c:v>
                </c:pt>
                <c:pt idx="45">
                  <c:v>Nov-20</c:v>
                </c:pt>
                <c:pt idx="46">
                  <c:v>Dec-20</c:v>
                </c:pt>
                <c:pt idx="47">
                  <c:v>Jan-21</c:v>
                </c:pt>
                <c:pt idx="48">
                  <c:v>Feb-21</c:v>
                </c:pt>
                <c:pt idx="49">
                  <c:v>Mar-21</c:v>
                </c:pt>
                <c:pt idx="50">
                  <c:v>Apr-21</c:v>
                </c:pt>
                <c:pt idx="51">
                  <c:v>May-21</c:v>
                </c:pt>
                <c:pt idx="52">
                  <c:v>Jun-21</c:v>
                </c:pt>
                <c:pt idx="53">
                  <c:v>Jul-21</c:v>
                </c:pt>
                <c:pt idx="54">
                  <c:v>Aug-21</c:v>
                </c:pt>
                <c:pt idx="55">
                  <c:v>Sep-21</c:v>
                </c:pt>
                <c:pt idx="56">
                  <c:v>Oct-21</c:v>
                </c:pt>
                <c:pt idx="57">
                  <c:v>Nov-21</c:v>
                </c:pt>
                <c:pt idx="58">
                  <c:v>Dec-21</c:v>
                </c:pt>
                <c:pt idx="59">
                  <c:v>Jan-22</c:v>
                </c:pt>
                <c:pt idx="60">
                  <c:v>Feb-22</c:v>
                </c:pt>
                <c:pt idx="61">
                  <c:v>Mar-22</c:v>
                </c:pt>
                <c:pt idx="62">
                  <c:v>Apr-22</c:v>
                </c:pt>
                <c:pt idx="63">
                  <c:v>May-22</c:v>
                </c:pt>
                <c:pt idx="64">
                  <c:v>Jun-22</c:v>
                </c:pt>
                <c:pt idx="65">
                  <c:v>Jul-22</c:v>
                </c:pt>
                <c:pt idx="66">
                  <c:v>Aug-22</c:v>
                </c:pt>
                <c:pt idx="67">
                  <c:v>Sep-22</c:v>
                </c:pt>
                <c:pt idx="68">
                  <c:v>Oct-22</c:v>
                </c:pt>
                <c:pt idx="69">
                  <c:v>Nov-22</c:v>
                </c:pt>
                <c:pt idx="70">
                  <c:v>Dec-22</c:v>
                </c:pt>
                <c:pt idx="71">
                  <c:v>Jan-23</c:v>
                </c:pt>
                <c:pt idx="72">
                  <c:v>Feb-23</c:v>
                </c:pt>
                <c:pt idx="73">
                  <c:v>Mar-23</c:v>
                </c:pt>
                <c:pt idx="74">
                  <c:v>Apr-23</c:v>
                </c:pt>
                <c:pt idx="75">
                  <c:v>May-23</c:v>
                </c:pt>
                <c:pt idx="76">
                  <c:v>Jun-23</c:v>
                </c:pt>
                <c:pt idx="77">
                  <c:v>Jul-23</c:v>
                </c:pt>
                <c:pt idx="78">
                  <c:v>Aug-23</c:v>
                </c:pt>
              </c:strCache>
            </c:strRef>
          </c:cat>
          <c:val>
            <c:numRef>
              <c:f>stat2!$B$2:$B$80</c:f>
              <c:numCache>
                <c:formatCode>0.00</c:formatCode>
                <c:ptCount val="79"/>
                <c:pt idx="0">
                  <c:v>2.9391666666666669</c:v>
                </c:pt>
                <c:pt idx="1">
                  <c:v>6.8769444444444447</c:v>
                </c:pt>
                <c:pt idx="2">
                  <c:v>2.4422222222222221</c:v>
                </c:pt>
                <c:pt idx="3">
                  <c:v>5.2480555555555561</c:v>
                </c:pt>
                <c:pt idx="4">
                  <c:v>3.291666666666667</c:v>
                </c:pt>
                <c:pt idx="5">
                  <c:v>3.0930555555555554</c:v>
                </c:pt>
                <c:pt idx="6">
                  <c:v>5.2466666666666661</c:v>
                </c:pt>
                <c:pt idx="7">
                  <c:v>5.8619444444444451</c:v>
                </c:pt>
                <c:pt idx="8">
                  <c:v>6.3327777777777783</c:v>
                </c:pt>
                <c:pt idx="9">
                  <c:v>2.9611111111111112</c:v>
                </c:pt>
                <c:pt idx="10">
                  <c:v>6.8711111111111105</c:v>
                </c:pt>
                <c:pt idx="11">
                  <c:v>1.0736111111111111</c:v>
                </c:pt>
                <c:pt idx="12">
                  <c:v>0</c:v>
                </c:pt>
                <c:pt idx="13">
                  <c:v>3.2744444444444443</c:v>
                </c:pt>
                <c:pt idx="14">
                  <c:v>3.1177777777777775</c:v>
                </c:pt>
                <c:pt idx="15">
                  <c:v>2.6924999999999999</c:v>
                </c:pt>
                <c:pt idx="16">
                  <c:v>2.6816666666666666</c:v>
                </c:pt>
                <c:pt idx="17">
                  <c:v>4.1065277777777771</c:v>
                </c:pt>
                <c:pt idx="18">
                  <c:v>4.9163888888888891</c:v>
                </c:pt>
                <c:pt idx="19">
                  <c:v>6.2589999999999995</c:v>
                </c:pt>
                <c:pt idx="20">
                  <c:v>3.0911111111111111</c:v>
                </c:pt>
                <c:pt idx="21">
                  <c:v>3.6269444444444447</c:v>
                </c:pt>
                <c:pt idx="22">
                  <c:v>1.68608333333333</c:v>
                </c:pt>
                <c:pt idx="23">
                  <c:v>0</c:v>
                </c:pt>
                <c:pt idx="24">
                  <c:v>2.7412777777777779</c:v>
                </c:pt>
                <c:pt idx="25">
                  <c:v>2.8028383333333333</c:v>
                </c:pt>
                <c:pt idx="26">
                  <c:v>1.7739722222222201</c:v>
                </c:pt>
                <c:pt idx="27">
                  <c:v>1.8939888888888889</c:v>
                </c:pt>
                <c:pt idx="28">
                  <c:v>6.0676833333333322</c:v>
                </c:pt>
                <c:pt idx="29">
                  <c:v>7.5049722222222233</c:v>
                </c:pt>
                <c:pt idx="30">
                  <c:v>5.994611388888889</c:v>
                </c:pt>
                <c:pt idx="31">
                  <c:v>7.63</c:v>
                </c:pt>
                <c:pt idx="32">
                  <c:v>8.2480777777777785</c:v>
                </c:pt>
                <c:pt idx="33">
                  <c:v>1.7697777777777777</c:v>
                </c:pt>
                <c:pt idx="34">
                  <c:v>3.4613972222222227</c:v>
                </c:pt>
                <c:pt idx="35">
                  <c:v>4.6062161111111113</c:v>
                </c:pt>
                <c:pt idx="36">
                  <c:v>3.1187888888888891</c:v>
                </c:pt>
                <c:pt idx="37">
                  <c:v>5.1458250000000003</c:v>
                </c:pt>
                <c:pt idx="38">
                  <c:v>1.1620277777777779</c:v>
                </c:pt>
                <c:pt idx="39">
                  <c:v>1.6766388888888888</c:v>
                </c:pt>
                <c:pt idx="40">
                  <c:v>5.634526666666666</c:v>
                </c:pt>
                <c:pt idx="41">
                  <c:v>4.3552558333333335</c:v>
                </c:pt>
                <c:pt idx="42">
                  <c:v>4.0855555555555556</c:v>
                </c:pt>
                <c:pt idx="43">
                  <c:v>0</c:v>
                </c:pt>
                <c:pt idx="44">
                  <c:v>0</c:v>
                </c:pt>
                <c:pt idx="45">
                  <c:v>0.26895833333333335</c:v>
                </c:pt>
                <c:pt idx="46">
                  <c:v>0.39111111111111113</c:v>
                </c:pt>
                <c:pt idx="47">
                  <c:v>1.0284258333333334</c:v>
                </c:pt>
                <c:pt idx="48">
                  <c:v>0</c:v>
                </c:pt>
                <c:pt idx="49">
                  <c:v>1.3074488888888889</c:v>
                </c:pt>
                <c:pt idx="50">
                  <c:v>4.1210883333333337</c:v>
                </c:pt>
                <c:pt idx="51">
                  <c:v>2.929816666666667</c:v>
                </c:pt>
                <c:pt idx="52">
                  <c:v>2.4122205555555558</c:v>
                </c:pt>
                <c:pt idx="53">
                  <c:v>5.8260152777777776</c:v>
                </c:pt>
                <c:pt idx="54">
                  <c:v>1.9626460820987655</c:v>
                </c:pt>
                <c:pt idx="55">
                  <c:v>0</c:v>
                </c:pt>
                <c:pt idx="56">
                  <c:v>2.4689350000000001</c:v>
                </c:pt>
                <c:pt idx="57">
                  <c:v>1.5448027777777777</c:v>
                </c:pt>
                <c:pt idx="58">
                  <c:v>2.4147825000000003</c:v>
                </c:pt>
                <c:pt idx="59">
                  <c:v>0.38126944444444444</c:v>
                </c:pt>
                <c:pt idx="60">
                  <c:v>3.3579938888888887</c:v>
                </c:pt>
                <c:pt idx="61">
                  <c:v>0.96737416666666665</c:v>
                </c:pt>
                <c:pt idx="62">
                  <c:v>2.4617927777777773</c:v>
                </c:pt>
                <c:pt idx="63">
                  <c:v>1.8818758333333334</c:v>
                </c:pt>
                <c:pt idx="64">
                  <c:v>6.8088277777777773</c:v>
                </c:pt>
                <c:pt idx="65">
                  <c:v>4.6761015740740746</c:v>
                </c:pt>
                <c:pt idx="66">
                  <c:v>9.7347055555555553</c:v>
                </c:pt>
                <c:pt idx="67">
                  <c:v>6.0346027777777778</c:v>
                </c:pt>
                <c:pt idx="68">
                  <c:v>10.035410277777778</c:v>
                </c:pt>
                <c:pt idx="69">
                  <c:v>1.4005416666666666</c:v>
                </c:pt>
                <c:pt idx="70">
                  <c:v>6.7087875000000006</c:v>
                </c:pt>
                <c:pt idx="71">
                  <c:v>2.170286388888889</c:v>
                </c:pt>
                <c:pt idx="72">
                  <c:v>3.4505749999999997</c:v>
                </c:pt>
                <c:pt idx="73">
                  <c:v>4.817011388888889</c:v>
                </c:pt>
                <c:pt idx="74">
                  <c:v>5.2863419444444446</c:v>
                </c:pt>
                <c:pt idx="75">
                  <c:v>7.3292472222222225</c:v>
                </c:pt>
                <c:pt idx="76">
                  <c:v>4.3812444444444445</c:v>
                </c:pt>
                <c:pt idx="77">
                  <c:v>2.0637197222222223</c:v>
                </c:pt>
                <c:pt idx="78">
                  <c:v>5.3730811111111114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5D-45A1-8225-FA4DE59C17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6900096"/>
        <c:axId val="146901632"/>
      </c:barChart>
      <c:catAx>
        <c:axId val="1469000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46901632"/>
        <c:crosses val="autoZero"/>
        <c:auto val="1"/>
        <c:lblAlgn val="ctr"/>
        <c:lblOffset val="100"/>
        <c:noMultiLvlLbl val="0"/>
      </c:catAx>
      <c:valAx>
        <c:axId val="146901632"/>
        <c:scaling>
          <c:orientation val="minMax"/>
        </c:scaling>
        <c:delete val="0"/>
        <c:axPos val="l"/>
        <c:majorGridlines/>
        <c:numFmt formatCode="0" sourceLinked="0"/>
        <c:majorTickMark val="out"/>
        <c:minorTickMark val="none"/>
        <c:tickLblPos val="nextTo"/>
        <c:crossAx val="14690009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256223949985006"/>
          <c:y val="0.12675668553479011"/>
          <c:w val="0.62798654359531481"/>
          <c:h val="0.75719613361582816"/>
        </c:manualLayout>
      </c:layout>
      <c:pie3DChart>
        <c:varyColors val="1"/>
        <c:ser>
          <c:idx val="0"/>
          <c:order val="0"/>
          <c:dLbls>
            <c:dLbl>
              <c:idx val="0"/>
              <c:layout>
                <c:manualLayout>
                  <c:x val="-0.27994668128996342"/>
                  <c:y val="-9.11488473579356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123-4C68-8C83-0015BAD2973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5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stat2!$Y$2:$Y$4</c:f>
              <c:strCache>
                <c:ptCount val="3"/>
                <c:pt idx="0">
                  <c:v>observed</c:v>
                </c:pt>
                <c:pt idx="1">
                  <c:v>weather</c:v>
                </c:pt>
                <c:pt idx="2">
                  <c:v>technical</c:v>
                </c:pt>
              </c:strCache>
            </c:strRef>
          </c:cat>
          <c:val>
            <c:numRef>
              <c:f>stat2!$AA$2:$AA$4</c:f>
              <c:numCache>
                <c:formatCode>0.0</c:formatCode>
                <c:ptCount val="3"/>
                <c:pt idx="0">
                  <c:v>41.765330866944588</c:v>
                </c:pt>
                <c:pt idx="1">
                  <c:v>52.068508364126018</c:v>
                </c:pt>
                <c:pt idx="2">
                  <c:v>6.1664823954698402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CA-4B9D-A245-CDBEEC8E29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3966311379911525E-2"/>
          <c:y val="6.7141414622025553E-2"/>
          <c:w val="0.86638392006774745"/>
          <c:h val="0.60280734739506214"/>
        </c:manualLayout>
      </c:layout>
      <c:barChart>
        <c:barDir val="col"/>
        <c:grouping val="clustered"/>
        <c:varyColors val="0"/>
        <c:ser>
          <c:idx val="0"/>
          <c:order val="0"/>
          <c:tx>
            <c:v>Validated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stat2!$A$2:$A$80</c:f>
              <c:strCache>
                <c:ptCount val="79"/>
                <c:pt idx="0">
                  <c:v>Feb-17</c:v>
                </c:pt>
                <c:pt idx="1">
                  <c:v>Mar-17</c:v>
                </c:pt>
                <c:pt idx="2">
                  <c:v>Apr-17</c:v>
                </c:pt>
                <c:pt idx="3">
                  <c:v>May-17</c:v>
                </c:pt>
                <c:pt idx="4">
                  <c:v>Jun-17</c:v>
                </c:pt>
                <c:pt idx="5">
                  <c:v>Jul-17</c:v>
                </c:pt>
                <c:pt idx="6">
                  <c:v>Aug-17</c:v>
                </c:pt>
                <c:pt idx="7">
                  <c:v>Sep-17</c:v>
                </c:pt>
                <c:pt idx="8">
                  <c:v>Oct-17</c:v>
                </c:pt>
                <c:pt idx="9">
                  <c:v>Nov-17</c:v>
                </c:pt>
                <c:pt idx="10">
                  <c:v>Dec-17</c:v>
                </c:pt>
                <c:pt idx="11">
                  <c:v>Jan-18</c:v>
                </c:pt>
                <c:pt idx="12">
                  <c:v>Feb-18</c:v>
                </c:pt>
                <c:pt idx="13">
                  <c:v>Mar-18</c:v>
                </c:pt>
                <c:pt idx="14">
                  <c:v>Apr-18</c:v>
                </c:pt>
                <c:pt idx="15">
                  <c:v>May-18</c:v>
                </c:pt>
                <c:pt idx="16">
                  <c:v>Jun-18</c:v>
                </c:pt>
                <c:pt idx="17">
                  <c:v>Jul-18</c:v>
                </c:pt>
                <c:pt idx="18">
                  <c:v>Aug-18</c:v>
                </c:pt>
                <c:pt idx="19">
                  <c:v>Sep-18</c:v>
                </c:pt>
                <c:pt idx="20">
                  <c:v>Oct-18</c:v>
                </c:pt>
                <c:pt idx="21">
                  <c:v>Nov-18</c:v>
                </c:pt>
                <c:pt idx="22">
                  <c:v>Dec-18</c:v>
                </c:pt>
                <c:pt idx="23">
                  <c:v>Jan-19</c:v>
                </c:pt>
                <c:pt idx="24">
                  <c:v>Feb-19</c:v>
                </c:pt>
                <c:pt idx="25">
                  <c:v>Mar-19</c:v>
                </c:pt>
                <c:pt idx="26">
                  <c:v>Apr-19</c:v>
                </c:pt>
                <c:pt idx="27">
                  <c:v>May-19</c:v>
                </c:pt>
                <c:pt idx="28">
                  <c:v>Jun-19</c:v>
                </c:pt>
                <c:pt idx="29">
                  <c:v>Jul-19</c:v>
                </c:pt>
                <c:pt idx="30">
                  <c:v>Aug-19</c:v>
                </c:pt>
                <c:pt idx="31">
                  <c:v>Sep-19</c:v>
                </c:pt>
                <c:pt idx="32">
                  <c:v>Oct-19</c:v>
                </c:pt>
                <c:pt idx="33">
                  <c:v>Nov-19</c:v>
                </c:pt>
                <c:pt idx="34">
                  <c:v>Dec-19</c:v>
                </c:pt>
                <c:pt idx="35">
                  <c:v>Jan-20</c:v>
                </c:pt>
                <c:pt idx="36">
                  <c:v>Feb-20</c:v>
                </c:pt>
                <c:pt idx="37">
                  <c:v>Mar-20</c:v>
                </c:pt>
                <c:pt idx="38">
                  <c:v>Apr-20</c:v>
                </c:pt>
                <c:pt idx="39">
                  <c:v>May-20</c:v>
                </c:pt>
                <c:pt idx="40">
                  <c:v>Jun-20</c:v>
                </c:pt>
                <c:pt idx="41">
                  <c:v>Jul-20</c:v>
                </c:pt>
                <c:pt idx="42">
                  <c:v>Aug-20</c:v>
                </c:pt>
                <c:pt idx="43">
                  <c:v>Sep-20</c:v>
                </c:pt>
                <c:pt idx="44">
                  <c:v>Oct-20</c:v>
                </c:pt>
                <c:pt idx="45">
                  <c:v>Nov-20</c:v>
                </c:pt>
                <c:pt idx="46">
                  <c:v>Dec-20</c:v>
                </c:pt>
                <c:pt idx="47">
                  <c:v>Jan-21</c:v>
                </c:pt>
                <c:pt idx="48">
                  <c:v>Feb-21</c:v>
                </c:pt>
                <c:pt idx="49">
                  <c:v>Mar-21</c:v>
                </c:pt>
                <c:pt idx="50">
                  <c:v>Apr-21</c:v>
                </c:pt>
                <c:pt idx="51">
                  <c:v>May-21</c:v>
                </c:pt>
                <c:pt idx="52">
                  <c:v>Jun-21</c:v>
                </c:pt>
                <c:pt idx="53">
                  <c:v>Jul-21</c:v>
                </c:pt>
                <c:pt idx="54">
                  <c:v>Aug-21</c:v>
                </c:pt>
                <c:pt idx="55">
                  <c:v>Sep-21</c:v>
                </c:pt>
                <c:pt idx="56">
                  <c:v>Oct-21</c:v>
                </c:pt>
                <c:pt idx="57">
                  <c:v>Nov-21</c:v>
                </c:pt>
                <c:pt idx="58">
                  <c:v>Dec-21</c:v>
                </c:pt>
                <c:pt idx="59">
                  <c:v>Jan-22</c:v>
                </c:pt>
                <c:pt idx="60">
                  <c:v>Feb-22</c:v>
                </c:pt>
                <c:pt idx="61">
                  <c:v>Mar-22</c:v>
                </c:pt>
                <c:pt idx="62">
                  <c:v>Apr-22</c:v>
                </c:pt>
                <c:pt idx="63">
                  <c:v>May-22</c:v>
                </c:pt>
                <c:pt idx="64">
                  <c:v>Jun-22</c:v>
                </c:pt>
                <c:pt idx="65">
                  <c:v>Jul-22</c:v>
                </c:pt>
                <c:pt idx="66">
                  <c:v>Aug-22</c:v>
                </c:pt>
                <c:pt idx="67">
                  <c:v>Sep-22</c:v>
                </c:pt>
                <c:pt idx="68">
                  <c:v>Oct-22</c:v>
                </c:pt>
                <c:pt idx="69">
                  <c:v>Nov-22</c:v>
                </c:pt>
                <c:pt idx="70">
                  <c:v>Dec-22</c:v>
                </c:pt>
                <c:pt idx="71">
                  <c:v>Jan-23</c:v>
                </c:pt>
                <c:pt idx="72">
                  <c:v>Feb-23</c:v>
                </c:pt>
                <c:pt idx="73">
                  <c:v>Mar-23</c:v>
                </c:pt>
                <c:pt idx="74">
                  <c:v>Apr-23</c:v>
                </c:pt>
                <c:pt idx="75">
                  <c:v>May-23</c:v>
                </c:pt>
                <c:pt idx="76">
                  <c:v>Jun-23</c:v>
                </c:pt>
                <c:pt idx="77">
                  <c:v>Jul-23</c:v>
                </c:pt>
                <c:pt idx="78">
                  <c:v>Aug-23</c:v>
                </c:pt>
              </c:strCache>
            </c:strRef>
          </c:cat>
          <c:val>
            <c:numRef>
              <c:f>stat2!$G$2:$G$80</c:f>
              <c:numCache>
                <c:formatCode>0</c:formatCode>
                <c:ptCount val="79"/>
                <c:pt idx="0">
                  <c:v>1</c:v>
                </c:pt>
                <c:pt idx="1">
                  <c:v>3</c:v>
                </c:pt>
                <c:pt idx="2">
                  <c:v>1</c:v>
                </c:pt>
                <c:pt idx="3">
                  <c:v>1</c:v>
                </c:pt>
                <c:pt idx="4">
                  <c:v>2</c:v>
                </c:pt>
                <c:pt idx="5">
                  <c:v>5</c:v>
                </c:pt>
                <c:pt idx="6">
                  <c:v>5</c:v>
                </c:pt>
                <c:pt idx="7">
                  <c:v>2</c:v>
                </c:pt>
                <c:pt idx="8">
                  <c:v>4</c:v>
                </c:pt>
                <c:pt idx="9">
                  <c:v>2</c:v>
                </c:pt>
                <c:pt idx="10">
                  <c:v>4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4</c:v>
                </c:pt>
                <c:pt idx="17">
                  <c:v>1</c:v>
                </c:pt>
                <c:pt idx="18">
                  <c:v>11</c:v>
                </c:pt>
                <c:pt idx="19">
                  <c:v>5</c:v>
                </c:pt>
                <c:pt idx="20">
                  <c:v>1</c:v>
                </c:pt>
                <c:pt idx="23">
                  <c:v>0</c:v>
                </c:pt>
                <c:pt idx="24">
                  <c:v>2</c:v>
                </c:pt>
                <c:pt idx="26">
                  <c:v>1</c:v>
                </c:pt>
                <c:pt idx="27">
                  <c:v>0</c:v>
                </c:pt>
                <c:pt idx="28">
                  <c:v>4</c:v>
                </c:pt>
                <c:pt idx="29">
                  <c:v>17</c:v>
                </c:pt>
                <c:pt idx="30">
                  <c:v>5</c:v>
                </c:pt>
                <c:pt idx="31">
                  <c:v>4</c:v>
                </c:pt>
                <c:pt idx="32">
                  <c:v>2</c:v>
                </c:pt>
                <c:pt idx="33">
                  <c:v>2</c:v>
                </c:pt>
                <c:pt idx="34">
                  <c:v>5</c:v>
                </c:pt>
                <c:pt idx="35">
                  <c:v>2</c:v>
                </c:pt>
                <c:pt idx="36">
                  <c:v>0</c:v>
                </c:pt>
                <c:pt idx="37">
                  <c:v>5</c:v>
                </c:pt>
                <c:pt idx="38">
                  <c:v>1</c:v>
                </c:pt>
                <c:pt idx="39">
                  <c:v>0</c:v>
                </c:pt>
                <c:pt idx="40">
                  <c:v>2</c:v>
                </c:pt>
                <c:pt idx="41">
                  <c:v>2</c:v>
                </c:pt>
                <c:pt idx="42">
                  <c:v>3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1</c:v>
                </c:pt>
                <c:pt idx="47">
                  <c:v>0</c:v>
                </c:pt>
                <c:pt idx="48">
                  <c:v>0</c:v>
                </c:pt>
                <c:pt idx="49">
                  <c:v>2</c:v>
                </c:pt>
                <c:pt idx="50">
                  <c:v>2</c:v>
                </c:pt>
                <c:pt idx="51">
                  <c:v>2</c:v>
                </c:pt>
                <c:pt idx="52">
                  <c:v>3</c:v>
                </c:pt>
                <c:pt idx="53">
                  <c:v>3</c:v>
                </c:pt>
                <c:pt idx="54">
                  <c:v>4</c:v>
                </c:pt>
                <c:pt idx="55">
                  <c:v>0</c:v>
                </c:pt>
                <c:pt idx="56">
                  <c:v>4</c:v>
                </c:pt>
                <c:pt idx="57">
                  <c:v>0</c:v>
                </c:pt>
                <c:pt idx="58">
                  <c:v>2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2</c:v>
                </c:pt>
                <c:pt idx="63">
                  <c:v>0</c:v>
                </c:pt>
                <c:pt idx="64">
                  <c:v>5</c:v>
                </c:pt>
                <c:pt idx="65">
                  <c:v>3</c:v>
                </c:pt>
                <c:pt idx="66">
                  <c:v>4</c:v>
                </c:pt>
                <c:pt idx="67">
                  <c:v>1</c:v>
                </c:pt>
                <c:pt idx="68">
                  <c:v>15</c:v>
                </c:pt>
                <c:pt idx="69">
                  <c:v>1</c:v>
                </c:pt>
                <c:pt idx="70">
                  <c:v>6</c:v>
                </c:pt>
                <c:pt idx="71">
                  <c:v>1</c:v>
                </c:pt>
                <c:pt idx="72">
                  <c:v>2</c:v>
                </c:pt>
                <c:pt idx="73">
                  <c:v>1</c:v>
                </c:pt>
                <c:pt idx="74">
                  <c:v>3</c:v>
                </c:pt>
                <c:pt idx="75">
                  <c:v>5</c:v>
                </c:pt>
                <c:pt idx="76">
                  <c:v>3</c:v>
                </c:pt>
                <c:pt idx="77">
                  <c:v>0</c:v>
                </c:pt>
                <c:pt idx="78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17-4B08-97F9-A33C493C5EA3}"/>
            </c:ext>
          </c:extLst>
        </c:ser>
        <c:ser>
          <c:idx val="1"/>
          <c:order val="1"/>
          <c:tx>
            <c:v>Suspected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stat2!$A$2:$A$80</c:f>
              <c:strCache>
                <c:ptCount val="79"/>
                <c:pt idx="0">
                  <c:v>Feb-17</c:v>
                </c:pt>
                <c:pt idx="1">
                  <c:v>Mar-17</c:v>
                </c:pt>
                <c:pt idx="2">
                  <c:v>Apr-17</c:v>
                </c:pt>
                <c:pt idx="3">
                  <c:v>May-17</c:v>
                </c:pt>
                <c:pt idx="4">
                  <c:v>Jun-17</c:v>
                </c:pt>
                <c:pt idx="5">
                  <c:v>Jul-17</c:v>
                </c:pt>
                <c:pt idx="6">
                  <c:v>Aug-17</c:v>
                </c:pt>
                <c:pt idx="7">
                  <c:v>Sep-17</c:v>
                </c:pt>
                <c:pt idx="8">
                  <c:v>Oct-17</c:v>
                </c:pt>
                <c:pt idx="9">
                  <c:v>Nov-17</c:v>
                </c:pt>
                <c:pt idx="10">
                  <c:v>Dec-17</c:v>
                </c:pt>
                <c:pt idx="11">
                  <c:v>Jan-18</c:v>
                </c:pt>
                <c:pt idx="12">
                  <c:v>Feb-18</c:v>
                </c:pt>
                <c:pt idx="13">
                  <c:v>Mar-18</c:v>
                </c:pt>
                <c:pt idx="14">
                  <c:v>Apr-18</c:v>
                </c:pt>
                <c:pt idx="15">
                  <c:v>May-18</c:v>
                </c:pt>
                <c:pt idx="16">
                  <c:v>Jun-18</c:v>
                </c:pt>
                <c:pt idx="17">
                  <c:v>Jul-18</c:v>
                </c:pt>
                <c:pt idx="18">
                  <c:v>Aug-18</c:v>
                </c:pt>
                <c:pt idx="19">
                  <c:v>Sep-18</c:v>
                </c:pt>
                <c:pt idx="20">
                  <c:v>Oct-18</c:v>
                </c:pt>
                <c:pt idx="21">
                  <c:v>Nov-18</c:v>
                </c:pt>
                <c:pt idx="22">
                  <c:v>Dec-18</c:v>
                </c:pt>
                <c:pt idx="23">
                  <c:v>Jan-19</c:v>
                </c:pt>
                <c:pt idx="24">
                  <c:v>Feb-19</c:v>
                </c:pt>
                <c:pt idx="25">
                  <c:v>Mar-19</c:v>
                </c:pt>
                <c:pt idx="26">
                  <c:v>Apr-19</c:v>
                </c:pt>
                <c:pt idx="27">
                  <c:v>May-19</c:v>
                </c:pt>
                <c:pt idx="28">
                  <c:v>Jun-19</c:v>
                </c:pt>
                <c:pt idx="29">
                  <c:v>Jul-19</c:v>
                </c:pt>
                <c:pt idx="30">
                  <c:v>Aug-19</c:v>
                </c:pt>
                <c:pt idx="31">
                  <c:v>Sep-19</c:v>
                </c:pt>
                <c:pt idx="32">
                  <c:v>Oct-19</c:v>
                </c:pt>
                <c:pt idx="33">
                  <c:v>Nov-19</c:v>
                </c:pt>
                <c:pt idx="34">
                  <c:v>Dec-19</c:v>
                </c:pt>
                <c:pt idx="35">
                  <c:v>Jan-20</c:v>
                </c:pt>
                <c:pt idx="36">
                  <c:v>Feb-20</c:v>
                </c:pt>
                <c:pt idx="37">
                  <c:v>Mar-20</c:v>
                </c:pt>
                <c:pt idx="38">
                  <c:v>Apr-20</c:v>
                </c:pt>
                <c:pt idx="39">
                  <c:v>May-20</c:v>
                </c:pt>
                <c:pt idx="40">
                  <c:v>Jun-20</c:v>
                </c:pt>
                <c:pt idx="41">
                  <c:v>Jul-20</c:v>
                </c:pt>
                <c:pt idx="42">
                  <c:v>Aug-20</c:v>
                </c:pt>
                <c:pt idx="43">
                  <c:v>Sep-20</c:v>
                </c:pt>
                <c:pt idx="44">
                  <c:v>Oct-20</c:v>
                </c:pt>
                <c:pt idx="45">
                  <c:v>Nov-20</c:v>
                </c:pt>
                <c:pt idx="46">
                  <c:v>Dec-20</c:v>
                </c:pt>
                <c:pt idx="47">
                  <c:v>Jan-21</c:v>
                </c:pt>
                <c:pt idx="48">
                  <c:v>Feb-21</c:v>
                </c:pt>
                <c:pt idx="49">
                  <c:v>Mar-21</c:v>
                </c:pt>
                <c:pt idx="50">
                  <c:v>Apr-21</c:v>
                </c:pt>
                <c:pt idx="51">
                  <c:v>May-21</c:v>
                </c:pt>
                <c:pt idx="52">
                  <c:v>Jun-21</c:v>
                </c:pt>
                <c:pt idx="53">
                  <c:v>Jul-21</c:v>
                </c:pt>
                <c:pt idx="54">
                  <c:v>Aug-21</c:v>
                </c:pt>
                <c:pt idx="55">
                  <c:v>Sep-21</c:v>
                </c:pt>
                <c:pt idx="56">
                  <c:v>Oct-21</c:v>
                </c:pt>
                <c:pt idx="57">
                  <c:v>Nov-21</c:v>
                </c:pt>
                <c:pt idx="58">
                  <c:v>Dec-21</c:v>
                </c:pt>
                <c:pt idx="59">
                  <c:v>Jan-22</c:v>
                </c:pt>
                <c:pt idx="60">
                  <c:v>Feb-22</c:v>
                </c:pt>
                <c:pt idx="61">
                  <c:v>Mar-22</c:v>
                </c:pt>
                <c:pt idx="62">
                  <c:v>Apr-22</c:v>
                </c:pt>
                <c:pt idx="63">
                  <c:v>May-22</c:v>
                </c:pt>
                <c:pt idx="64">
                  <c:v>Jun-22</c:v>
                </c:pt>
                <c:pt idx="65">
                  <c:v>Jul-22</c:v>
                </c:pt>
                <c:pt idx="66">
                  <c:v>Aug-22</c:v>
                </c:pt>
                <c:pt idx="67">
                  <c:v>Sep-22</c:v>
                </c:pt>
                <c:pt idx="68">
                  <c:v>Oct-22</c:v>
                </c:pt>
                <c:pt idx="69">
                  <c:v>Nov-22</c:v>
                </c:pt>
                <c:pt idx="70">
                  <c:v>Dec-22</c:v>
                </c:pt>
                <c:pt idx="71">
                  <c:v>Jan-23</c:v>
                </c:pt>
                <c:pt idx="72">
                  <c:v>Feb-23</c:v>
                </c:pt>
                <c:pt idx="73">
                  <c:v>Mar-23</c:v>
                </c:pt>
                <c:pt idx="74">
                  <c:v>Apr-23</c:v>
                </c:pt>
                <c:pt idx="75">
                  <c:v>May-23</c:v>
                </c:pt>
                <c:pt idx="76">
                  <c:v>Jun-23</c:v>
                </c:pt>
                <c:pt idx="77">
                  <c:v>Jul-23</c:v>
                </c:pt>
                <c:pt idx="78">
                  <c:v>Aug-23</c:v>
                </c:pt>
              </c:strCache>
            </c:strRef>
          </c:cat>
          <c:val>
            <c:numRef>
              <c:f>stat2!$H$2:$H$80</c:f>
              <c:numCache>
                <c:formatCode>0</c:formatCode>
                <c:ptCount val="79"/>
                <c:pt idx="3">
                  <c:v>2</c:v>
                </c:pt>
                <c:pt idx="4">
                  <c:v>3</c:v>
                </c:pt>
                <c:pt idx="5">
                  <c:v>1</c:v>
                </c:pt>
                <c:pt idx="6">
                  <c:v>1</c:v>
                </c:pt>
                <c:pt idx="10">
                  <c:v>9</c:v>
                </c:pt>
                <c:pt idx="12">
                  <c:v>0</c:v>
                </c:pt>
                <c:pt idx="13">
                  <c:v>1</c:v>
                </c:pt>
                <c:pt idx="16">
                  <c:v>1</c:v>
                </c:pt>
                <c:pt idx="18">
                  <c:v>4</c:v>
                </c:pt>
                <c:pt idx="20">
                  <c:v>1</c:v>
                </c:pt>
                <c:pt idx="21">
                  <c:v>3</c:v>
                </c:pt>
                <c:pt idx="22">
                  <c:v>2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  <c:pt idx="27">
                  <c:v>0</c:v>
                </c:pt>
                <c:pt idx="28">
                  <c:v>2</c:v>
                </c:pt>
                <c:pt idx="29">
                  <c:v>1</c:v>
                </c:pt>
                <c:pt idx="30">
                  <c:v>3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5">
                  <c:v>3</c:v>
                </c:pt>
                <c:pt idx="36">
                  <c:v>0</c:v>
                </c:pt>
                <c:pt idx="37">
                  <c:v>1</c:v>
                </c:pt>
                <c:pt idx="39">
                  <c:v>0</c:v>
                </c:pt>
                <c:pt idx="40">
                  <c:v>3</c:v>
                </c:pt>
                <c:pt idx="41">
                  <c:v>2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1</c:v>
                </c:pt>
                <c:pt idx="50">
                  <c:v>0</c:v>
                </c:pt>
                <c:pt idx="51">
                  <c:v>0</c:v>
                </c:pt>
                <c:pt idx="52">
                  <c:v>1</c:v>
                </c:pt>
                <c:pt idx="53">
                  <c:v>2</c:v>
                </c:pt>
                <c:pt idx="54">
                  <c:v>1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1</c:v>
                </c:pt>
                <c:pt idx="59">
                  <c:v>0</c:v>
                </c:pt>
                <c:pt idx="60">
                  <c:v>1</c:v>
                </c:pt>
                <c:pt idx="61">
                  <c:v>0</c:v>
                </c:pt>
                <c:pt idx="62">
                  <c:v>0</c:v>
                </c:pt>
                <c:pt idx="63">
                  <c:v>2</c:v>
                </c:pt>
                <c:pt idx="64">
                  <c:v>3</c:v>
                </c:pt>
                <c:pt idx="65">
                  <c:v>2</c:v>
                </c:pt>
                <c:pt idx="66">
                  <c:v>7</c:v>
                </c:pt>
                <c:pt idx="67">
                  <c:v>2</c:v>
                </c:pt>
                <c:pt idx="68">
                  <c:v>15</c:v>
                </c:pt>
                <c:pt idx="69">
                  <c:v>4</c:v>
                </c:pt>
                <c:pt idx="70">
                  <c:v>4</c:v>
                </c:pt>
                <c:pt idx="71">
                  <c:v>0</c:v>
                </c:pt>
                <c:pt idx="72">
                  <c:v>1</c:v>
                </c:pt>
                <c:pt idx="73">
                  <c:v>3</c:v>
                </c:pt>
                <c:pt idx="74">
                  <c:v>2</c:v>
                </c:pt>
                <c:pt idx="75">
                  <c:v>0</c:v>
                </c:pt>
                <c:pt idx="76">
                  <c:v>1</c:v>
                </c:pt>
                <c:pt idx="77">
                  <c:v>0</c:v>
                </c:pt>
                <c:pt idx="78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117-4B08-97F9-A33C493C5E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67836784"/>
        <c:axId val="967828464"/>
      </c:barChart>
      <c:catAx>
        <c:axId val="967836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67828464"/>
        <c:crosses val="autoZero"/>
        <c:auto val="1"/>
        <c:lblAlgn val="ctr"/>
        <c:lblOffset val="100"/>
        <c:noMultiLvlLbl val="0"/>
      </c:catAx>
      <c:valAx>
        <c:axId val="967828464"/>
        <c:scaling>
          <c:orientation val="minMax"/>
          <c:max val="18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678367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Observed</c:v>
          </c:tx>
          <c:spPr>
            <a:solidFill>
              <a:srgbClr val="00FF00"/>
            </a:solidFill>
          </c:spPr>
          <c:invertIfNegative val="0"/>
          <c:cat>
            <c:strRef>
              <c:f>stat2!$A$2:$A$80</c:f>
              <c:strCache>
                <c:ptCount val="79"/>
                <c:pt idx="0">
                  <c:v>Feb-17</c:v>
                </c:pt>
                <c:pt idx="1">
                  <c:v>Mar-17</c:v>
                </c:pt>
                <c:pt idx="2">
                  <c:v>Apr-17</c:v>
                </c:pt>
                <c:pt idx="3">
                  <c:v>May-17</c:v>
                </c:pt>
                <c:pt idx="4">
                  <c:v>Jun-17</c:v>
                </c:pt>
                <c:pt idx="5">
                  <c:v>Jul-17</c:v>
                </c:pt>
                <c:pt idx="6">
                  <c:v>Aug-17</c:v>
                </c:pt>
                <c:pt idx="7">
                  <c:v>Sep-17</c:v>
                </c:pt>
                <c:pt idx="8">
                  <c:v>Oct-17</c:v>
                </c:pt>
                <c:pt idx="9">
                  <c:v>Nov-17</c:v>
                </c:pt>
                <c:pt idx="10">
                  <c:v>Dec-17</c:v>
                </c:pt>
                <c:pt idx="11">
                  <c:v>Jan-18</c:v>
                </c:pt>
                <c:pt idx="12">
                  <c:v>Feb-18</c:v>
                </c:pt>
                <c:pt idx="13">
                  <c:v>Mar-18</c:v>
                </c:pt>
                <c:pt idx="14">
                  <c:v>Apr-18</c:v>
                </c:pt>
                <c:pt idx="15">
                  <c:v>May-18</c:v>
                </c:pt>
                <c:pt idx="16">
                  <c:v>Jun-18</c:v>
                </c:pt>
                <c:pt idx="17">
                  <c:v>Jul-18</c:v>
                </c:pt>
                <c:pt idx="18">
                  <c:v>Aug-18</c:v>
                </c:pt>
                <c:pt idx="19">
                  <c:v>Sep-18</c:v>
                </c:pt>
                <c:pt idx="20">
                  <c:v>Oct-18</c:v>
                </c:pt>
                <c:pt idx="21">
                  <c:v>Nov-18</c:v>
                </c:pt>
                <c:pt idx="22">
                  <c:v>Dec-18</c:v>
                </c:pt>
                <c:pt idx="23">
                  <c:v>Jan-19</c:v>
                </c:pt>
                <c:pt idx="24">
                  <c:v>Feb-19</c:v>
                </c:pt>
                <c:pt idx="25">
                  <c:v>Mar-19</c:v>
                </c:pt>
                <c:pt idx="26">
                  <c:v>Apr-19</c:v>
                </c:pt>
                <c:pt idx="27">
                  <c:v>May-19</c:v>
                </c:pt>
                <c:pt idx="28">
                  <c:v>Jun-19</c:v>
                </c:pt>
                <c:pt idx="29">
                  <c:v>Jul-19</c:v>
                </c:pt>
                <c:pt idx="30">
                  <c:v>Aug-19</c:v>
                </c:pt>
                <c:pt idx="31">
                  <c:v>Sep-19</c:v>
                </c:pt>
                <c:pt idx="32">
                  <c:v>Oct-19</c:v>
                </c:pt>
                <c:pt idx="33">
                  <c:v>Nov-19</c:v>
                </c:pt>
                <c:pt idx="34">
                  <c:v>Dec-19</c:v>
                </c:pt>
                <c:pt idx="35">
                  <c:v>Jan-20</c:v>
                </c:pt>
                <c:pt idx="36">
                  <c:v>Feb-20</c:v>
                </c:pt>
                <c:pt idx="37">
                  <c:v>Mar-20</c:v>
                </c:pt>
                <c:pt idx="38">
                  <c:v>Apr-20</c:v>
                </c:pt>
                <c:pt idx="39">
                  <c:v>May-20</c:v>
                </c:pt>
                <c:pt idx="40">
                  <c:v>Jun-20</c:v>
                </c:pt>
                <c:pt idx="41">
                  <c:v>Jul-20</c:v>
                </c:pt>
                <c:pt idx="42">
                  <c:v>Aug-20</c:v>
                </c:pt>
                <c:pt idx="43">
                  <c:v>Sep-20</c:v>
                </c:pt>
                <c:pt idx="44">
                  <c:v>Oct-20</c:v>
                </c:pt>
                <c:pt idx="45">
                  <c:v>Nov-20</c:v>
                </c:pt>
                <c:pt idx="46">
                  <c:v>Dec-20</c:v>
                </c:pt>
                <c:pt idx="47">
                  <c:v>Jan-21</c:v>
                </c:pt>
                <c:pt idx="48">
                  <c:v>Feb-21</c:v>
                </c:pt>
                <c:pt idx="49">
                  <c:v>Mar-21</c:v>
                </c:pt>
                <c:pt idx="50">
                  <c:v>Apr-21</c:v>
                </c:pt>
                <c:pt idx="51">
                  <c:v>May-21</c:v>
                </c:pt>
                <c:pt idx="52">
                  <c:v>Jun-21</c:v>
                </c:pt>
                <c:pt idx="53">
                  <c:v>Jul-21</c:v>
                </c:pt>
                <c:pt idx="54">
                  <c:v>Aug-21</c:v>
                </c:pt>
                <c:pt idx="55">
                  <c:v>Sep-21</c:v>
                </c:pt>
                <c:pt idx="56">
                  <c:v>Oct-21</c:v>
                </c:pt>
                <c:pt idx="57">
                  <c:v>Nov-21</c:v>
                </c:pt>
                <c:pt idx="58">
                  <c:v>Dec-21</c:v>
                </c:pt>
                <c:pt idx="59">
                  <c:v>Jan-22</c:v>
                </c:pt>
                <c:pt idx="60">
                  <c:v>Feb-22</c:v>
                </c:pt>
                <c:pt idx="61">
                  <c:v>Mar-22</c:v>
                </c:pt>
                <c:pt idx="62">
                  <c:v>Apr-22</c:v>
                </c:pt>
                <c:pt idx="63">
                  <c:v>May-22</c:v>
                </c:pt>
                <c:pt idx="64">
                  <c:v>Jun-22</c:v>
                </c:pt>
                <c:pt idx="65">
                  <c:v>Jul-22</c:v>
                </c:pt>
                <c:pt idx="66">
                  <c:v>Aug-22</c:v>
                </c:pt>
                <c:pt idx="67">
                  <c:v>Sep-22</c:v>
                </c:pt>
                <c:pt idx="68">
                  <c:v>Oct-22</c:v>
                </c:pt>
                <c:pt idx="69">
                  <c:v>Nov-22</c:v>
                </c:pt>
                <c:pt idx="70">
                  <c:v>Dec-22</c:v>
                </c:pt>
                <c:pt idx="71">
                  <c:v>Jan-23</c:v>
                </c:pt>
                <c:pt idx="72">
                  <c:v>Feb-23</c:v>
                </c:pt>
                <c:pt idx="73">
                  <c:v>Mar-23</c:v>
                </c:pt>
                <c:pt idx="74">
                  <c:v>Apr-23</c:v>
                </c:pt>
                <c:pt idx="75">
                  <c:v>May-23</c:v>
                </c:pt>
                <c:pt idx="76">
                  <c:v>Jun-23</c:v>
                </c:pt>
                <c:pt idx="77">
                  <c:v>Jul-23</c:v>
                </c:pt>
                <c:pt idx="78">
                  <c:v>Aug-23</c:v>
                </c:pt>
              </c:strCache>
            </c:strRef>
          </c:cat>
          <c:val>
            <c:numRef>
              <c:f>stat2!$C$2:$C$80</c:f>
              <c:numCache>
                <c:formatCode>0.00</c:formatCode>
                <c:ptCount val="79"/>
                <c:pt idx="0">
                  <c:v>30.6119687452295</c:v>
                </c:pt>
                <c:pt idx="1">
                  <c:v>77.828705799507063</c:v>
                </c:pt>
                <c:pt idx="2">
                  <c:v>34.777105336023105</c:v>
                </c:pt>
                <c:pt idx="3">
                  <c:v>62.324277336838399</c:v>
                </c:pt>
                <c:pt idx="4">
                  <c:v>74.840933118938793</c:v>
                </c:pt>
                <c:pt idx="5">
                  <c:v>69.702430981779699</c:v>
                </c:pt>
                <c:pt idx="6">
                  <c:v>96.439610295886396</c:v>
                </c:pt>
                <c:pt idx="7">
                  <c:v>79.251260414971199</c:v>
                </c:pt>
                <c:pt idx="8">
                  <c:v>64.832254746924207</c:v>
                </c:pt>
                <c:pt idx="9">
                  <c:v>24.922999212009799</c:v>
                </c:pt>
                <c:pt idx="10">
                  <c:v>48.085197566032996</c:v>
                </c:pt>
                <c:pt idx="11">
                  <c:v>9.8753440910089587</c:v>
                </c:pt>
                <c:pt idx="12">
                  <c:v>0</c:v>
                </c:pt>
                <c:pt idx="13">
                  <c:v>36.713663078032802</c:v>
                </c:pt>
                <c:pt idx="14">
                  <c:v>58.235098787979403</c:v>
                </c:pt>
                <c:pt idx="15">
                  <c:v>41.752097727390201</c:v>
                </c:pt>
                <c:pt idx="16">
                  <c:v>58.321578912650601</c:v>
                </c:pt>
                <c:pt idx="17">
                  <c:v>80.606642203235495</c:v>
                </c:pt>
                <c:pt idx="18">
                  <c:v>85.638029287664395</c:v>
                </c:pt>
                <c:pt idx="19">
                  <c:v>93.767790262172284</c:v>
                </c:pt>
                <c:pt idx="20">
                  <c:v>48.16940671289683</c:v>
                </c:pt>
                <c:pt idx="21">
                  <c:v>31.140440836262858</c:v>
                </c:pt>
                <c:pt idx="22">
                  <c:v>8.6016035208572497</c:v>
                </c:pt>
                <c:pt idx="23">
                  <c:v>0</c:v>
                </c:pt>
                <c:pt idx="24">
                  <c:v>30.116596231867199</c:v>
                </c:pt>
                <c:pt idx="25">
                  <c:v>30.89926872289865</c:v>
                </c:pt>
                <c:pt idx="26">
                  <c:v>28.281231422318321</c:v>
                </c:pt>
                <c:pt idx="27">
                  <c:v>33.899252247235708</c:v>
                </c:pt>
                <c:pt idx="28">
                  <c:v>77.72</c:v>
                </c:pt>
                <c:pt idx="29">
                  <c:v>100</c:v>
                </c:pt>
                <c:pt idx="30">
                  <c:v>82.4077035314657</c:v>
                </c:pt>
                <c:pt idx="31">
                  <c:v>89.614684730335426</c:v>
                </c:pt>
                <c:pt idx="32">
                  <c:v>91.878180128151968</c:v>
                </c:pt>
                <c:pt idx="33">
                  <c:v>18.829999999999998</c:v>
                </c:pt>
                <c:pt idx="34">
                  <c:v>28.721852254063421</c:v>
                </c:pt>
                <c:pt idx="35">
                  <c:v>32.203714711499202</c:v>
                </c:pt>
                <c:pt idx="36">
                  <c:v>44.040899507494935</c:v>
                </c:pt>
                <c:pt idx="37">
                  <c:v>58.306625550750638</c:v>
                </c:pt>
                <c:pt idx="38">
                  <c:v>17.82524586252152</c:v>
                </c:pt>
                <c:pt idx="39">
                  <c:v>36.957733025551214</c:v>
                </c:pt>
                <c:pt idx="40">
                  <c:v>93.931843263734748</c:v>
                </c:pt>
                <c:pt idx="41">
                  <c:v>66.775783591299387</c:v>
                </c:pt>
                <c:pt idx="42">
                  <c:v>63.730932543867048</c:v>
                </c:pt>
                <c:pt idx="43">
                  <c:v>0</c:v>
                </c:pt>
                <c:pt idx="44">
                  <c:v>0</c:v>
                </c:pt>
                <c:pt idx="45">
                  <c:v>3.6944826007326008</c:v>
                </c:pt>
                <c:pt idx="46">
                  <c:v>3.6689597665207425</c:v>
                </c:pt>
                <c:pt idx="47">
                  <c:v>19.201378516305702</c:v>
                </c:pt>
                <c:pt idx="48">
                  <c:v>0</c:v>
                </c:pt>
                <c:pt idx="49">
                  <c:v>15.282907779764578</c:v>
                </c:pt>
                <c:pt idx="50">
                  <c:v>41.821476896015163</c:v>
                </c:pt>
                <c:pt idx="51">
                  <c:v>50.2</c:v>
                </c:pt>
                <c:pt idx="52">
                  <c:v>53.275960327762476</c:v>
                </c:pt>
                <c:pt idx="53">
                  <c:v>97.938412470388357</c:v>
                </c:pt>
                <c:pt idx="54">
                  <c:v>23.888573591452488</c:v>
                </c:pt>
                <c:pt idx="55">
                  <c:v>0</c:v>
                </c:pt>
                <c:pt idx="56">
                  <c:v>23.933022608367477</c:v>
                </c:pt>
                <c:pt idx="57">
                  <c:v>14.779972998256579</c:v>
                </c:pt>
                <c:pt idx="58">
                  <c:v>25.288793547827069</c:v>
                </c:pt>
                <c:pt idx="59">
                  <c:v>3.872615641409284</c:v>
                </c:pt>
                <c:pt idx="60">
                  <c:v>35.61780066881493</c:v>
                </c:pt>
                <c:pt idx="61">
                  <c:v>10.518589517410302</c:v>
                </c:pt>
                <c:pt idx="62">
                  <c:v>33.014064716470571</c:v>
                </c:pt>
                <c:pt idx="63">
                  <c:v>23.78391314718036</c:v>
                </c:pt>
                <c:pt idx="64">
                  <c:v>57.504557567993317</c:v>
                </c:pt>
                <c:pt idx="65">
                  <c:v>51.107280833449643</c:v>
                </c:pt>
                <c:pt idx="66">
                  <c:v>75.833063713817964</c:v>
                </c:pt>
                <c:pt idx="67">
                  <c:v>51.304617828175026</c:v>
                </c:pt>
                <c:pt idx="68">
                  <c:v>77.108189726286298</c:v>
                </c:pt>
                <c:pt idx="69">
                  <c:v>11.749037510793748</c:v>
                </c:pt>
                <c:pt idx="70">
                  <c:v>48.404040435621312</c:v>
                </c:pt>
                <c:pt idx="71">
                  <c:v>17.336928725446118</c:v>
                </c:pt>
                <c:pt idx="72">
                  <c:v>40.970367562021252</c:v>
                </c:pt>
                <c:pt idx="73">
                  <c:v>54.815549078469267</c:v>
                </c:pt>
                <c:pt idx="74">
                  <c:v>50.807830589153951</c:v>
                </c:pt>
                <c:pt idx="75">
                  <c:v>67.633065087080496</c:v>
                </c:pt>
                <c:pt idx="76">
                  <c:v>53.92028580300407</c:v>
                </c:pt>
                <c:pt idx="77">
                  <c:v>23.073574398966421</c:v>
                </c:pt>
                <c:pt idx="78">
                  <c:v>64.861952805952697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CC-4745-AD76-B44988BF46B3}"/>
            </c:ext>
          </c:extLst>
        </c:ser>
        <c:ser>
          <c:idx val="1"/>
          <c:order val="1"/>
          <c:tx>
            <c:v>Weather</c:v>
          </c:tx>
          <c:spPr>
            <a:solidFill>
              <a:srgbClr val="FF0000"/>
            </a:solidFill>
          </c:spPr>
          <c:invertIfNegative val="0"/>
          <c:cat>
            <c:strRef>
              <c:f>stat2!$A$2:$A$80</c:f>
              <c:strCache>
                <c:ptCount val="79"/>
                <c:pt idx="0">
                  <c:v>Feb-17</c:v>
                </c:pt>
                <c:pt idx="1">
                  <c:v>Mar-17</c:v>
                </c:pt>
                <c:pt idx="2">
                  <c:v>Apr-17</c:v>
                </c:pt>
                <c:pt idx="3">
                  <c:v>May-17</c:v>
                </c:pt>
                <c:pt idx="4">
                  <c:v>Jun-17</c:v>
                </c:pt>
                <c:pt idx="5">
                  <c:v>Jul-17</c:v>
                </c:pt>
                <c:pt idx="6">
                  <c:v>Aug-17</c:v>
                </c:pt>
                <c:pt idx="7">
                  <c:v>Sep-17</c:v>
                </c:pt>
                <c:pt idx="8">
                  <c:v>Oct-17</c:v>
                </c:pt>
                <c:pt idx="9">
                  <c:v>Nov-17</c:v>
                </c:pt>
                <c:pt idx="10">
                  <c:v>Dec-17</c:v>
                </c:pt>
                <c:pt idx="11">
                  <c:v>Jan-18</c:v>
                </c:pt>
                <c:pt idx="12">
                  <c:v>Feb-18</c:v>
                </c:pt>
                <c:pt idx="13">
                  <c:v>Mar-18</c:v>
                </c:pt>
                <c:pt idx="14">
                  <c:v>Apr-18</c:v>
                </c:pt>
                <c:pt idx="15">
                  <c:v>May-18</c:v>
                </c:pt>
                <c:pt idx="16">
                  <c:v>Jun-18</c:v>
                </c:pt>
                <c:pt idx="17">
                  <c:v>Jul-18</c:v>
                </c:pt>
                <c:pt idx="18">
                  <c:v>Aug-18</c:v>
                </c:pt>
                <c:pt idx="19">
                  <c:v>Sep-18</c:v>
                </c:pt>
                <c:pt idx="20">
                  <c:v>Oct-18</c:v>
                </c:pt>
                <c:pt idx="21">
                  <c:v>Nov-18</c:v>
                </c:pt>
                <c:pt idx="22">
                  <c:v>Dec-18</c:v>
                </c:pt>
                <c:pt idx="23">
                  <c:v>Jan-19</c:v>
                </c:pt>
                <c:pt idx="24">
                  <c:v>Feb-19</c:v>
                </c:pt>
                <c:pt idx="25">
                  <c:v>Mar-19</c:v>
                </c:pt>
                <c:pt idx="26">
                  <c:v>Apr-19</c:v>
                </c:pt>
                <c:pt idx="27">
                  <c:v>May-19</c:v>
                </c:pt>
                <c:pt idx="28">
                  <c:v>Jun-19</c:v>
                </c:pt>
                <c:pt idx="29">
                  <c:v>Jul-19</c:v>
                </c:pt>
                <c:pt idx="30">
                  <c:v>Aug-19</c:v>
                </c:pt>
                <c:pt idx="31">
                  <c:v>Sep-19</c:v>
                </c:pt>
                <c:pt idx="32">
                  <c:v>Oct-19</c:v>
                </c:pt>
                <c:pt idx="33">
                  <c:v>Nov-19</c:v>
                </c:pt>
                <c:pt idx="34">
                  <c:v>Dec-19</c:v>
                </c:pt>
                <c:pt idx="35">
                  <c:v>Jan-20</c:v>
                </c:pt>
                <c:pt idx="36">
                  <c:v>Feb-20</c:v>
                </c:pt>
                <c:pt idx="37">
                  <c:v>Mar-20</c:v>
                </c:pt>
                <c:pt idx="38">
                  <c:v>Apr-20</c:v>
                </c:pt>
                <c:pt idx="39">
                  <c:v>May-20</c:v>
                </c:pt>
                <c:pt idx="40">
                  <c:v>Jun-20</c:v>
                </c:pt>
                <c:pt idx="41">
                  <c:v>Jul-20</c:v>
                </c:pt>
                <c:pt idx="42">
                  <c:v>Aug-20</c:v>
                </c:pt>
                <c:pt idx="43">
                  <c:v>Sep-20</c:v>
                </c:pt>
                <c:pt idx="44">
                  <c:v>Oct-20</c:v>
                </c:pt>
                <c:pt idx="45">
                  <c:v>Nov-20</c:v>
                </c:pt>
                <c:pt idx="46">
                  <c:v>Dec-20</c:v>
                </c:pt>
                <c:pt idx="47">
                  <c:v>Jan-21</c:v>
                </c:pt>
                <c:pt idx="48">
                  <c:v>Feb-21</c:v>
                </c:pt>
                <c:pt idx="49">
                  <c:v>Mar-21</c:v>
                </c:pt>
                <c:pt idx="50">
                  <c:v>Apr-21</c:v>
                </c:pt>
                <c:pt idx="51">
                  <c:v>May-21</c:v>
                </c:pt>
                <c:pt idx="52">
                  <c:v>Jun-21</c:v>
                </c:pt>
                <c:pt idx="53">
                  <c:v>Jul-21</c:v>
                </c:pt>
                <c:pt idx="54">
                  <c:v>Aug-21</c:v>
                </c:pt>
                <c:pt idx="55">
                  <c:v>Sep-21</c:v>
                </c:pt>
                <c:pt idx="56">
                  <c:v>Oct-21</c:v>
                </c:pt>
                <c:pt idx="57">
                  <c:v>Nov-21</c:v>
                </c:pt>
                <c:pt idx="58">
                  <c:v>Dec-21</c:v>
                </c:pt>
                <c:pt idx="59">
                  <c:v>Jan-22</c:v>
                </c:pt>
                <c:pt idx="60">
                  <c:v>Feb-22</c:v>
                </c:pt>
                <c:pt idx="61">
                  <c:v>Mar-22</c:v>
                </c:pt>
                <c:pt idx="62">
                  <c:v>Apr-22</c:v>
                </c:pt>
                <c:pt idx="63">
                  <c:v>May-22</c:v>
                </c:pt>
                <c:pt idx="64">
                  <c:v>Jun-22</c:v>
                </c:pt>
                <c:pt idx="65">
                  <c:v>Jul-22</c:v>
                </c:pt>
                <c:pt idx="66">
                  <c:v>Aug-22</c:v>
                </c:pt>
                <c:pt idx="67">
                  <c:v>Sep-22</c:v>
                </c:pt>
                <c:pt idx="68">
                  <c:v>Oct-22</c:v>
                </c:pt>
                <c:pt idx="69">
                  <c:v>Nov-22</c:v>
                </c:pt>
                <c:pt idx="70">
                  <c:v>Dec-22</c:v>
                </c:pt>
                <c:pt idx="71">
                  <c:v>Jan-23</c:v>
                </c:pt>
                <c:pt idx="72">
                  <c:v>Feb-23</c:v>
                </c:pt>
                <c:pt idx="73">
                  <c:v>Mar-23</c:v>
                </c:pt>
                <c:pt idx="74">
                  <c:v>Apr-23</c:v>
                </c:pt>
                <c:pt idx="75">
                  <c:v>May-23</c:v>
                </c:pt>
                <c:pt idx="76">
                  <c:v>Jun-23</c:v>
                </c:pt>
                <c:pt idx="77">
                  <c:v>Jul-23</c:v>
                </c:pt>
                <c:pt idx="78">
                  <c:v>Aug-23</c:v>
                </c:pt>
              </c:strCache>
            </c:strRef>
          </c:cat>
          <c:val>
            <c:numRef>
              <c:f>stat2!$D$2:$D$80</c:f>
              <c:numCache>
                <c:formatCode>0.00</c:formatCode>
                <c:ptCount val="79"/>
                <c:pt idx="0">
                  <c:v>69.389389887430823</c:v>
                </c:pt>
                <c:pt idx="1">
                  <c:v>21.050516070620198</c:v>
                </c:pt>
                <c:pt idx="2">
                  <c:v>65.227814168743294</c:v>
                </c:pt>
                <c:pt idx="3">
                  <c:v>33.64910772963956</c:v>
                </c:pt>
                <c:pt idx="4">
                  <c:v>25.162554645495195</c:v>
                </c:pt>
                <c:pt idx="5">
                  <c:v>29.287313163405297</c:v>
                </c:pt>
                <c:pt idx="6">
                  <c:v>3.5650709646379592</c:v>
                </c:pt>
                <c:pt idx="7">
                  <c:v>18.136582416815902</c:v>
                </c:pt>
                <c:pt idx="8">
                  <c:v>26.558998687796507</c:v>
                </c:pt>
                <c:pt idx="9">
                  <c:v>75.076267148889698</c:v>
                </c:pt>
                <c:pt idx="10">
                  <c:v>51.912330678448932</c:v>
                </c:pt>
                <c:pt idx="11">
                  <c:v>90.119961916851793</c:v>
                </c:pt>
                <c:pt idx="12">
                  <c:v>91.804123711340196</c:v>
                </c:pt>
                <c:pt idx="13">
                  <c:v>63.286832474020258</c:v>
                </c:pt>
                <c:pt idx="14">
                  <c:v>41.764901212020575</c:v>
                </c:pt>
                <c:pt idx="15">
                  <c:v>58.2508571822395</c:v>
                </c:pt>
                <c:pt idx="16">
                  <c:v>41.676011556880702</c:v>
                </c:pt>
                <c:pt idx="17">
                  <c:v>19.393357796764505</c:v>
                </c:pt>
                <c:pt idx="18">
                  <c:v>14.357110945644079</c:v>
                </c:pt>
                <c:pt idx="19">
                  <c:v>6.2322097378277155</c:v>
                </c:pt>
                <c:pt idx="20">
                  <c:v>51.826163675557801</c:v>
                </c:pt>
                <c:pt idx="21">
                  <c:v>68.861736776581594</c:v>
                </c:pt>
                <c:pt idx="22">
                  <c:v>91.402985074626883</c:v>
                </c:pt>
                <c:pt idx="23">
                  <c:v>100</c:v>
                </c:pt>
                <c:pt idx="24">
                  <c:v>69.881383153698792</c:v>
                </c:pt>
                <c:pt idx="25">
                  <c:v>68.587687106494499</c:v>
                </c:pt>
                <c:pt idx="26">
                  <c:v>71.718768577681672</c:v>
                </c:pt>
                <c:pt idx="27">
                  <c:v>66.099999999999994</c:v>
                </c:pt>
                <c:pt idx="28">
                  <c:v>22.283998938235673</c:v>
                </c:pt>
                <c:pt idx="29">
                  <c:v>0</c:v>
                </c:pt>
                <c:pt idx="30">
                  <c:v>17.59</c:v>
                </c:pt>
                <c:pt idx="31">
                  <c:v>10.380435116414199</c:v>
                </c:pt>
                <c:pt idx="32">
                  <c:v>8.1201034845107394</c:v>
                </c:pt>
                <c:pt idx="33">
                  <c:v>81.174392935982354</c:v>
                </c:pt>
                <c:pt idx="34">
                  <c:v>71.280096391165003</c:v>
                </c:pt>
                <c:pt idx="35">
                  <c:v>67.795000000000002</c:v>
                </c:pt>
                <c:pt idx="36">
                  <c:v>55.956044221242301</c:v>
                </c:pt>
                <c:pt idx="37">
                  <c:v>37.119899200664442</c:v>
                </c:pt>
                <c:pt idx="38">
                  <c:v>79.307379966252498</c:v>
                </c:pt>
                <c:pt idx="39">
                  <c:v>63.042266974448779</c:v>
                </c:pt>
                <c:pt idx="40">
                  <c:v>6.0681567362652391</c:v>
                </c:pt>
                <c:pt idx="41">
                  <c:v>29.437022750805962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96.302857142857192</c:v>
                </c:pt>
                <c:pt idx="46">
                  <c:v>96.335609756097512</c:v>
                </c:pt>
                <c:pt idx="47">
                  <c:v>80.8</c:v>
                </c:pt>
                <c:pt idx="48">
                  <c:v>0</c:v>
                </c:pt>
                <c:pt idx="49">
                  <c:v>84.717398734553058</c:v>
                </c:pt>
                <c:pt idx="50">
                  <c:v>58.183377308707101</c:v>
                </c:pt>
                <c:pt idx="51">
                  <c:v>49.799572227581031</c:v>
                </c:pt>
                <c:pt idx="52">
                  <c:v>46.725856847542921</c:v>
                </c:pt>
                <c:pt idx="53">
                  <c:v>2.0638415267474</c:v>
                </c:pt>
                <c:pt idx="54">
                  <c:v>0</c:v>
                </c:pt>
                <c:pt idx="55">
                  <c:v>34.459459459459453</c:v>
                </c:pt>
                <c:pt idx="56">
                  <c:v>76.066914024160809</c:v>
                </c:pt>
                <c:pt idx="57">
                  <c:v>85.222935323383098</c:v>
                </c:pt>
                <c:pt idx="58">
                  <c:v>74.712342252251645</c:v>
                </c:pt>
                <c:pt idx="59">
                  <c:v>96.127384358590746</c:v>
                </c:pt>
                <c:pt idx="60">
                  <c:v>64.382330428783703</c:v>
                </c:pt>
                <c:pt idx="61">
                  <c:v>89.481249194693163</c:v>
                </c:pt>
                <c:pt idx="62">
                  <c:v>66.988563458856362</c:v>
                </c:pt>
                <c:pt idx="63">
                  <c:v>76.211344781998363</c:v>
                </c:pt>
                <c:pt idx="64">
                  <c:v>42.494999999999997</c:v>
                </c:pt>
                <c:pt idx="65">
                  <c:v>0</c:v>
                </c:pt>
                <c:pt idx="66">
                  <c:v>24.168518861854228</c:v>
                </c:pt>
                <c:pt idx="67">
                  <c:v>48.692759841601301</c:v>
                </c:pt>
                <c:pt idx="68">
                  <c:v>20.74052509371338</c:v>
                </c:pt>
                <c:pt idx="69">
                  <c:v>88.25266096667248</c:v>
                </c:pt>
                <c:pt idx="70">
                  <c:v>51.5972390466817</c:v>
                </c:pt>
                <c:pt idx="71">
                  <c:v>82.663071274553886</c:v>
                </c:pt>
                <c:pt idx="72">
                  <c:v>59.026298083305399</c:v>
                </c:pt>
                <c:pt idx="73">
                  <c:v>45.188056231797397</c:v>
                </c:pt>
                <c:pt idx="74">
                  <c:v>49.189109861115675</c:v>
                </c:pt>
                <c:pt idx="75">
                  <c:v>32.368476111653905</c:v>
                </c:pt>
                <c:pt idx="76">
                  <c:v>46.081242324960201</c:v>
                </c:pt>
                <c:pt idx="77">
                  <c:v>11.152624174267904</c:v>
                </c:pt>
                <c:pt idx="78">
                  <c:v>35.137654865433127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1CC-4745-AD76-B44988BF46B3}"/>
            </c:ext>
          </c:extLst>
        </c:ser>
        <c:ser>
          <c:idx val="2"/>
          <c:order val="2"/>
          <c:tx>
            <c:v>Technical</c:v>
          </c:tx>
          <c:spPr>
            <a:solidFill>
              <a:srgbClr val="FFC000"/>
            </a:solidFill>
          </c:spPr>
          <c:invertIfNegative val="0"/>
          <c:cat>
            <c:strRef>
              <c:f>stat2!$A$2:$A$80</c:f>
              <c:strCache>
                <c:ptCount val="79"/>
                <c:pt idx="0">
                  <c:v>Feb-17</c:v>
                </c:pt>
                <c:pt idx="1">
                  <c:v>Mar-17</c:v>
                </c:pt>
                <c:pt idx="2">
                  <c:v>Apr-17</c:v>
                </c:pt>
                <c:pt idx="3">
                  <c:v>May-17</c:v>
                </c:pt>
                <c:pt idx="4">
                  <c:v>Jun-17</c:v>
                </c:pt>
                <c:pt idx="5">
                  <c:v>Jul-17</c:v>
                </c:pt>
                <c:pt idx="6">
                  <c:v>Aug-17</c:v>
                </c:pt>
                <c:pt idx="7">
                  <c:v>Sep-17</c:v>
                </c:pt>
                <c:pt idx="8">
                  <c:v>Oct-17</c:v>
                </c:pt>
                <c:pt idx="9">
                  <c:v>Nov-17</c:v>
                </c:pt>
                <c:pt idx="10">
                  <c:v>Dec-17</c:v>
                </c:pt>
                <c:pt idx="11">
                  <c:v>Jan-18</c:v>
                </c:pt>
                <c:pt idx="12">
                  <c:v>Feb-18</c:v>
                </c:pt>
                <c:pt idx="13">
                  <c:v>Mar-18</c:v>
                </c:pt>
                <c:pt idx="14">
                  <c:v>Apr-18</c:v>
                </c:pt>
                <c:pt idx="15">
                  <c:v>May-18</c:v>
                </c:pt>
                <c:pt idx="16">
                  <c:v>Jun-18</c:v>
                </c:pt>
                <c:pt idx="17">
                  <c:v>Jul-18</c:v>
                </c:pt>
                <c:pt idx="18">
                  <c:v>Aug-18</c:v>
                </c:pt>
                <c:pt idx="19">
                  <c:v>Sep-18</c:v>
                </c:pt>
                <c:pt idx="20">
                  <c:v>Oct-18</c:v>
                </c:pt>
                <c:pt idx="21">
                  <c:v>Nov-18</c:v>
                </c:pt>
                <c:pt idx="22">
                  <c:v>Dec-18</c:v>
                </c:pt>
                <c:pt idx="23">
                  <c:v>Jan-19</c:v>
                </c:pt>
                <c:pt idx="24">
                  <c:v>Feb-19</c:v>
                </c:pt>
                <c:pt idx="25">
                  <c:v>Mar-19</c:v>
                </c:pt>
                <c:pt idx="26">
                  <c:v>Apr-19</c:v>
                </c:pt>
                <c:pt idx="27">
                  <c:v>May-19</c:v>
                </c:pt>
                <c:pt idx="28">
                  <c:v>Jun-19</c:v>
                </c:pt>
                <c:pt idx="29">
                  <c:v>Jul-19</c:v>
                </c:pt>
                <c:pt idx="30">
                  <c:v>Aug-19</c:v>
                </c:pt>
                <c:pt idx="31">
                  <c:v>Sep-19</c:v>
                </c:pt>
                <c:pt idx="32">
                  <c:v>Oct-19</c:v>
                </c:pt>
                <c:pt idx="33">
                  <c:v>Nov-19</c:v>
                </c:pt>
                <c:pt idx="34">
                  <c:v>Dec-19</c:v>
                </c:pt>
                <c:pt idx="35">
                  <c:v>Jan-20</c:v>
                </c:pt>
                <c:pt idx="36">
                  <c:v>Feb-20</c:v>
                </c:pt>
                <c:pt idx="37">
                  <c:v>Mar-20</c:v>
                </c:pt>
                <c:pt idx="38">
                  <c:v>Apr-20</c:v>
                </c:pt>
                <c:pt idx="39">
                  <c:v>May-20</c:v>
                </c:pt>
                <c:pt idx="40">
                  <c:v>Jun-20</c:v>
                </c:pt>
                <c:pt idx="41">
                  <c:v>Jul-20</c:v>
                </c:pt>
                <c:pt idx="42">
                  <c:v>Aug-20</c:v>
                </c:pt>
                <c:pt idx="43">
                  <c:v>Sep-20</c:v>
                </c:pt>
                <c:pt idx="44">
                  <c:v>Oct-20</c:v>
                </c:pt>
                <c:pt idx="45">
                  <c:v>Nov-20</c:v>
                </c:pt>
                <c:pt idx="46">
                  <c:v>Dec-20</c:v>
                </c:pt>
                <c:pt idx="47">
                  <c:v>Jan-21</c:v>
                </c:pt>
                <c:pt idx="48">
                  <c:v>Feb-21</c:v>
                </c:pt>
                <c:pt idx="49">
                  <c:v>Mar-21</c:v>
                </c:pt>
                <c:pt idx="50">
                  <c:v>Apr-21</c:v>
                </c:pt>
                <c:pt idx="51">
                  <c:v>May-21</c:v>
                </c:pt>
                <c:pt idx="52">
                  <c:v>Jun-21</c:v>
                </c:pt>
                <c:pt idx="53">
                  <c:v>Jul-21</c:v>
                </c:pt>
                <c:pt idx="54">
                  <c:v>Aug-21</c:v>
                </c:pt>
                <c:pt idx="55">
                  <c:v>Sep-21</c:v>
                </c:pt>
                <c:pt idx="56">
                  <c:v>Oct-21</c:v>
                </c:pt>
                <c:pt idx="57">
                  <c:v>Nov-21</c:v>
                </c:pt>
                <c:pt idx="58">
                  <c:v>Dec-21</c:v>
                </c:pt>
                <c:pt idx="59">
                  <c:v>Jan-22</c:v>
                </c:pt>
                <c:pt idx="60">
                  <c:v>Feb-22</c:v>
                </c:pt>
                <c:pt idx="61">
                  <c:v>Mar-22</c:v>
                </c:pt>
                <c:pt idx="62">
                  <c:v>Apr-22</c:v>
                </c:pt>
                <c:pt idx="63">
                  <c:v>May-22</c:v>
                </c:pt>
                <c:pt idx="64">
                  <c:v>Jun-22</c:v>
                </c:pt>
                <c:pt idx="65">
                  <c:v>Jul-22</c:v>
                </c:pt>
                <c:pt idx="66">
                  <c:v>Aug-22</c:v>
                </c:pt>
                <c:pt idx="67">
                  <c:v>Sep-22</c:v>
                </c:pt>
                <c:pt idx="68">
                  <c:v>Oct-22</c:v>
                </c:pt>
                <c:pt idx="69">
                  <c:v>Nov-22</c:v>
                </c:pt>
                <c:pt idx="70">
                  <c:v>Dec-22</c:v>
                </c:pt>
                <c:pt idx="71">
                  <c:v>Jan-23</c:v>
                </c:pt>
                <c:pt idx="72">
                  <c:v>Feb-23</c:v>
                </c:pt>
                <c:pt idx="73">
                  <c:v>Mar-23</c:v>
                </c:pt>
                <c:pt idx="74">
                  <c:v>Apr-23</c:v>
                </c:pt>
                <c:pt idx="75">
                  <c:v>May-23</c:v>
                </c:pt>
                <c:pt idx="76">
                  <c:v>Jun-23</c:v>
                </c:pt>
                <c:pt idx="77">
                  <c:v>Jul-23</c:v>
                </c:pt>
                <c:pt idx="78">
                  <c:v>Aug-23</c:v>
                </c:pt>
              </c:strCache>
            </c:strRef>
          </c:cat>
          <c:val>
            <c:numRef>
              <c:f>stat2!$E$2:$E$80</c:f>
              <c:numCache>
                <c:formatCode>0.00</c:formatCode>
                <c:ptCount val="79"/>
                <c:pt idx="0">
                  <c:v>0</c:v>
                </c:pt>
                <c:pt idx="1">
                  <c:v>1.1181530104119513</c:v>
                </c:pt>
                <c:pt idx="2">
                  <c:v>0</c:v>
                </c:pt>
                <c:pt idx="3">
                  <c:v>4.0220413528133063</c:v>
                </c:pt>
                <c:pt idx="4">
                  <c:v>0</c:v>
                </c:pt>
                <c:pt idx="5">
                  <c:v>1.013791609502491</c:v>
                </c:pt>
                <c:pt idx="6">
                  <c:v>0</c:v>
                </c:pt>
                <c:pt idx="7">
                  <c:v>2.6116678680214847</c:v>
                </c:pt>
                <c:pt idx="8">
                  <c:v>8.6080549106692246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8.1958762886597931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0.51593620617849523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4.5778852195155952</c:v>
                </c:pt>
                <c:pt idx="38">
                  <c:v>2.8716060745513112</c:v>
                </c:pt>
                <c:pt idx="39">
                  <c:v>0</c:v>
                </c:pt>
                <c:pt idx="40">
                  <c:v>0</c:v>
                </c:pt>
                <c:pt idx="41">
                  <c:v>3.7870607785690997</c:v>
                </c:pt>
                <c:pt idx="42">
                  <c:v>36.265988326892</c:v>
                </c:pt>
                <c:pt idx="43">
                  <c:v>100</c:v>
                </c:pt>
                <c:pt idx="44">
                  <c:v>100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76.107483039191806</c:v>
                </c:pt>
                <c:pt idx="55">
                  <c:v>65.540540540540533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48.897020112781014</c:v>
                </c:pt>
                <c:pt idx="66">
                  <c:v>0</c:v>
                </c:pt>
                <c:pt idx="67">
                  <c:v>0</c:v>
                </c:pt>
                <c:pt idx="68">
                  <c:v>2.1505259538509511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65.777419989005793</c:v>
                </c:pt>
                <c:pt idx="7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1CC-4745-AD76-B44988BF46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6866560"/>
        <c:axId val="146868096"/>
      </c:barChart>
      <c:catAx>
        <c:axId val="1468665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46868096"/>
        <c:crosses val="autoZero"/>
        <c:auto val="1"/>
        <c:lblAlgn val="ctr"/>
        <c:lblOffset val="100"/>
        <c:noMultiLvlLbl val="0"/>
      </c:catAx>
      <c:valAx>
        <c:axId val="146868096"/>
        <c:scaling>
          <c:orientation val="minMax"/>
          <c:max val="100"/>
        </c:scaling>
        <c:delete val="0"/>
        <c:axPos val="l"/>
        <c:majorGridlines/>
        <c:numFmt formatCode="0" sourceLinked="0"/>
        <c:majorTickMark val="out"/>
        <c:minorTickMark val="none"/>
        <c:tickLblPos val="nextTo"/>
        <c:crossAx val="14686656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31750</xdr:colOff>
      <xdr:row>12</xdr:row>
      <xdr:rowOff>25400</xdr:rowOff>
    </xdr:from>
    <xdr:to>
      <xdr:col>20</xdr:col>
      <xdr:colOff>31750</xdr:colOff>
      <xdr:row>22</xdr:row>
      <xdr:rowOff>139700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20</xdr:col>
      <xdr:colOff>67733</xdr:colOff>
      <xdr:row>10</xdr:row>
      <xdr:rowOff>29104</xdr:rowOff>
    </xdr:from>
    <xdr:to>
      <xdr:col>24</xdr:col>
      <xdr:colOff>402166</xdr:colOff>
      <xdr:row>22</xdr:row>
      <xdr:rowOff>114829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31750</xdr:colOff>
      <xdr:row>22</xdr:row>
      <xdr:rowOff>141816</xdr:rowOff>
    </xdr:from>
    <xdr:to>
      <xdr:col>20</xdr:col>
      <xdr:colOff>0</xdr:colOff>
      <xdr:row>33</xdr:row>
      <xdr:rowOff>126999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23813</xdr:colOff>
      <xdr:row>0</xdr:row>
      <xdr:rowOff>178595</xdr:rowOff>
    </xdr:from>
    <xdr:to>
      <xdr:col>19</xdr:col>
      <xdr:colOff>599282</xdr:colOff>
      <xdr:row>11</xdr:row>
      <xdr:rowOff>178595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587"/>
  <sheetViews>
    <sheetView zoomScale="80" zoomScaleNormal="80" workbookViewId="0">
      <pane ySplit="2" topLeftCell="A533" activePane="bottomLeft" state="frozen"/>
      <selection pane="bottomLeft" activeCell="E595" sqref="E595"/>
    </sheetView>
  </sheetViews>
  <sheetFormatPr defaultColWidth="12.28515625" defaultRowHeight="15" customHeight="1" x14ac:dyDescent="0.25"/>
  <cols>
    <col min="1" max="1" width="34.42578125" style="29" customWidth="1"/>
    <col min="2" max="2" width="16" style="29" customWidth="1"/>
    <col min="3" max="3" width="12.28515625" style="195"/>
    <col min="4" max="4" width="13.5703125" style="124" customWidth="1"/>
    <col min="5" max="5" width="21.7109375" style="137" customWidth="1"/>
    <col min="6" max="6" width="42.140625" style="137" customWidth="1"/>
    <col min="7" max="7" width="86.42578125" style="29" customWidth="1"/>
    <col min="8" max="10" width="12.28515625" style="124"/>
    <col min="11" max="11" width="10.28515625" style="124" customWidth="1"/>
    <col min="12" max="12" width="7.5703125" style="29" customWidth="1"/>
    <col min="13" max="13" width="9.5703125" style="14" customWidth="1"/>
    <col min="14" max="14" width="8" style="12" customWidth="1"/>
    <col min="15" max="15" width="9.7109375" style="12" customWidth="1"/>
    <col min="16" max="16" width="6.85546875" style="14" customWidth="1"/>
    <col min="17" max="17" width="11.7109375" style="15" customWidth="1"/>
    <col min="18" max="18" width="12.28515625" style="27" customWidth="1"/>
    <col min="19" max="19" width="12.28515625" style="29"/>
    <col min="20" max="20" width="25.7109375" style="29" bestFit="1" customWidth="1"/>
    <col min="21" max="16384" width="12.28515625" style="29"/>
  </cols>
  <sheetData>
    <row r="1" spans="1:17" ht="18" customHeight="1" x14ac:dyDescent="0.25">
      <c r="A1" s="207" t="s">
        <v>0</v>
      </c>
      <c r="B1" s="190" t="s">
        <v>1</v>
      </c>
      <c r="C1" s="191" t="s">
        <v>3</v>
      </c>
      <c r="D1" s="192" t="s">
        <v>5</v>
      </c>
      <c r="E1" s="208" t="s">
        <v>7</v>
      </c>
      <c r="F1" s="208" t="s">
        <v>8</v>
      </c>
      <c r="G1" s="207" t="s">
        <v>9</v>
      </c>
      <c r="N1" s="193"/>
      <c r="O1" s="193"/>
      <c r="P1" s="28"/>
    </row>
    <row r="2" spans="1:17" ht="18" customHeight="1" x14ac:dyDescent="0.25">
      <c r="A2" s="207"/>
      <c r="B2" s="190" t="s">
        <v>2</v>
      </c>
      <c r="C2" s="191" t="s">
        <v>4</v>
      </c>
      <c r="D2" s="192" t="s">
        <v>6</v>
      </c>
      <c r="E2" s="208"/>
      <c r="F2" s="208"/>
      <c r="G2" s="207"/>
      <c r="H2" s="123" t="s">
        <v>52</v>
      </c>
      <c r="I2" s="123" t="s">
        <v>53</v>
      </c>
      <c r="J2" s="123" t="s">
        <v>54</v>
      </c>
      <c r="K2" s="123" t="s">
        <v>498</v>
      </c>
      <c r="L2" s="123" t="s">
        <v>487</v>
      </c>
      <c r="M2" s="28" t="s">
        <v>451</v>
      </c>
      <c r="N2" s="193" t="s">
        <v>256</v>
      </c>
      <c r="O2" s="193" t="s">
        <v>692</v>
      </c>
    </row>
    <row r="3" spans="1:17" ht="18" customHeight="1" x14ac:dyDescent="0.25">
      <c r="A3" s="206" t="s">
        <v>48</v>
      </c>
      <c r="B3" s="206"/>
      <c r="C3" s="206"/>
      <c r="D3" s="206"/>
      <c r="E3" s="206"/>
      <c r="F3" s="206"/>
      <c r="G3" s="206"/>
      <c r="N3" s="193"/>
      <c r="O3" s="193"/>
      <c r="P3" s="28"/>
      <c r="Q3" s="123"/>
    </row>
    <row r="4" spans="1:17" ht="15" customHeight="1" x14ac:dyDescent="0.25">
      <c r="A4" s="205">
        <v>2017</v>
      </c>
      <c r="B4" s="205"/>
      <c r="C4" s="205"/>
      <c r="D4" s="205"/>
      <c r="E4" s="205"/>
      <c r="F4" s="205"/>
      <c r="G4" s="205"/>
      <c r="M4" s="194"/>
      <c r="N4" s="15"/>
      <c r="O4" s="15"/>
    </row>
    <row r="5" spans="1:17" ht="15" customHeight="1" x14ac:dyDescent="0.25">
      <c r="A5" s="125">
        <v>43044</v>
      </c>
      <c r="B5" s="108" t="s">
        <v>10</v>
      </c>
      <c r="C5" s="126">
        <v>0.29099999999999998</v>
      </c>
      <c r="D5" s="127">
        <v>0.25</v>
      </c>
      <c r="E5" s="128">
        <v>0</v>
      </c>
      <c r="F5" s="128" t="s">
        <v>11</v>
      </c>
      <c r="G5" s="108" t="s">
        <v>12</v>
      </c>
      <c r="H5" s="15">
        <v>25</v>
      </c>
      <c r="I5" s="15">
        <v>75</v>
      </c>
      <c r="J5" s="15">
        <v>0</v>
      </c>
      <c r="K5" s="15"/>
      <c r="M5" s="194"/>
      <c r="N5" s="15"/>
      <c r="O5" s="15"/>
    </row>
    <row r="6" spans="1:17" ht="15" customHeight="1" x14ac:dyDescent="0.25">
      <c r="A6" s="125">
        <v>43045</v>
      </c>
      <c r="B6" s="108"/>
      <c r="C6" s="126">
        <v>0.38500000000000001</v>
      </c>
      <c r="D6" s="127"/>
      <c r="E6" s="128"/>
      <c r="F6" s="128" t="s">
        <v>13</v>
      </c>
      <c r="G6" s="108"/>
      <c r="H6" s="15">
        <v>0</v>
      </c>
      <c r="I6" s="15">
        <v>100</v>
      </c>
      <c r="J6" s="15">
        <v>0</v>
      </c>
      <c r="K6" s="15"/>
      <c r="M6" s="194"/>
      <c r="N6" s="15"/>
      <c r="O6" s="15"/>
    </row>
    <row r="7" spans="1:17" ht="15" customHeight="1" x14ac:dyDescent="0.25">
      <c r="A7" s="125">
        <v>43046</v>
      </c>
      <c r="B7" s="108"/>
      <c r="C7" s="126">
        <v>0.48599999999999999</v>
      </c>
      <c r="D7" s="127"/>
      <c r="E7" s="128"/>
      <c r="F7" s="128" t="s">
        <v>13</v>
      </c>
      <c r="G7" s="108"/>
      <c r="H7" s="15">
        <v>0</v>
      </c>
      <c r="I7" s="15">
        <v>100</v>
      </c>
      <c r="J7" s="15">
        <v>0</v>
      </c>
      <c r="K7" s="15"/>
      <c r="M7" s="194"/>
      <c r="N7" s="15"/>
      <c r="O7" s="15"/>
    </row>
    <row r="8" spans="1:17" ht="15" customHeight="1" x14ac:dyDescent="0.25">
      <c r="A8" s="129">
        <v>43060</v>
      </c>
      <c r="B8" s="130"/>
      <c r="C8" s="131">
        <v>0.53100000000000003</v>
      </c>
      <c r="D8" s="132"/>
      <c r="E8" s="2"/>
      <c r="F8" s="2" t="s">
        <v>13</v>
      </c>
      <c r="G8" s="130"/>
      <c r="H8" s="15">
        <v>0</v>
      </c>
      <c r="I8" s="15">
        <v>100</v>
      </c>
      <c r="J8" s="15">
        <v>0</v>
      </c>
      <c r="K8" s="15"/>
      <c r="M8" s="194"/>
      <c r="N8" s="15"/>
      <c r="O8" s="15"/>
    </row>
    <row r="9" spans="1:17" ht="15" customHeight="1" x14ac:dyDescent="0.25">
      <c r="A9" s="129">
        <v>43061</v>
      </c>
      <c r="B9" s="130"/>
      <c r="C9" s="131">
        <v>0.42799999999999999</v>
      </c>
      <c r="D9" s="132"/>
      <c r="E9" s="2"/>
      <c r="F9" s="2" t="s">
        <v>13</v>
      </c>
      <c r="G9" s="130"/>
      <c r="H9" s="15">
        <v>0</v>
      </c>
      <c r="I9" s="15">
        <v>100</v>
      </c>
      <c r="J9" s="15">
        <v>0</v>
      </c>
      <c r="K9" s="15"/>
      <c r="M9" s="194"/>
      <c r="N9" s="15"/>
      <c r="O9" s="15"/>
    </row>
    <row r="10" spans="1:17" ht="15" customHeight="1" x14ac:dyDescent="0.25">
      <c r="A10" s="129">
        <v>43062</v>
      </c>
      <c r="B10" s="130"/>
      <c r="C10" s="131">
        <v>0.32800000000000001</v>
      </c>
      <c r="D10" s="132"/>
      <c r="E10" s="2"/>
      <c r="F10" s="2" t="s">
        <v>13</v>
      </c>
      <c r="G10" s="130"/>
      <c r="H10" s="15">
        <v>0</v>
      </c>
      <c r="I10" s="15">
        <v>100</v>
      </c>
      <c r="J10" s="15">
        <v>0</v>
      </c>
      <c r="K10" s="15"/>
      <c r="M10" s="194"/>
      <c r="N10" s="15"/>
      <c r="O10" s="15"/>
    </row>
    <row r="11" spans="1:17" ht="15" customHeight="1" x14ac:dyDescent="0.25">
      <c r="A11" s="129">
        <v>43063</v>
      </c>
      <c r="B11" s="130"/>
      <c r="C11" s="131">
        <v>0.24</v>
      </c>
      <c r="D11" s="132"/>
      <c r="E11" s="2"/>
      <c r="F11" s="2" t="s">
        <v>13</v>
      </c>
      <c r="G11" s="130"/>
      <c r="H11" s="15">
        <v>0</v>
      </c>
      <c r="I11" s="15">
        <v>100</v>
      </c>
      <c r="J11" s="15">
        <v>0</v>
      </c>
      <c r="K11" s="15"/>
      <c r="M11" s="194"/>
      <c r="N11" s="15"/>
      <c r="O11" s="15"/>
    </row>
    <row r="12" spans="1:17" ht="15" customHeight="1" x14ac:dyDescent="0.25">
      <c r="A12" s="129">
        <v>43064</v>
      </c>
      <c r="B12" s="130" t="s">
        <v>14</v>
      </c>
      <c r="C12" s="131">
        <v>0.16400000000000001</v>
      </c>
      <c r="D12" s="132">
        <v>0.8</v>
      </c>
      <c r="E12" s="2">
        <v>0</v>
      </c>
      <c r="F12" s="2" t="s">
        <v>15</v>
      </c>
      <c r="G12" s="130" t="s">
        <v>16</v>
      </c>
      <c r="H12" s="15">
        <v>80</v>
      </c>
      <c r="I12" s="15">
        <v>20</v>
      </c>
      <c r="J12" s="15">
        <v>0</v>
      </c>
      <c r="K12" s="15"/>
      <c r="M12" s="194"/>
      <c r="N12" s="15"/>
      <c r="O12" s="15"/>
    </row>
    <row r="13" spans="1:17" ht="15" customHeight="1" x14ac:dyDescent="0.25">
      <c r="A13" s="125">
        <v>43072</v>
      </c>
      <c r="B13" s="108"/>
      <c r="C13" s="126">
        <v>0.156</v>
      </c>
      <c r="D13" s="127"/>
      <c r="E13" s="128"/>
      <c r="F13" s="128" t="s">
        <v>17</v>
      </c>
      <c r="G13" s="108"/>
      <c r="H13" s="15">
        <v>0</v>
      </c>
      <c r="I13" s="15">
        <v>100</v>
      </c>
      <c r="J13" s="15">
        <v>0</v>
      </c>
      <c r="K13" s="15"/>
      <c r="M13" s="194"/>
      <c r="N13" s="15"/>
      <c r="O13" s="15"/>
    </row>
    <row r="14" spans="1:17" ht="15" customHeight="1" x14ac:dyDescent="0.25">
      <c r="A14" s="125">
        <v>43073</v>
      </c>
      <c r="B14" s="108"/>
      <c r="C14" s="126">
        <v>0.23499999999999999</v>
      </c>
      <c r="D14" s="127"/>
      <c r="E14" s="128"/>
      <c r="F14" s="128" t="s">
        <v>17</v>
      </c>
      <c r="G14" s="108"/>
      <c r="H14" s="15">
        <v>0</v>
      </c>
      <c r="I14" s="15">
        <v>100</v>
      </c>
      <c r="J14" s="15">
        <v>0</v>
      </c>
      <c r="K14" s="15"/>
      <c r="M14" s="194"/>
      <c r="N14" s="15"/>
      <c r="O14" s="15"/>
    </row>
    <row r="15" spans="1:17" ht="15" customHeight="1" x14ac:dyDescent="0.25">
      <c r="A15" s="125">
        <v>43074</v>
      </c>
      <c r="B15" s="108"/>
      <c r="C15" s="126">
        <v>0.32600000000000001</v>
      </c>
      <c r="D15" s="127"/>
      <c r="E15" s="128"/>
      <c r="F15" s="128" t="s">
        <v>17</v>
      </c>
      <c r="G15" s="108"/>
      <c r="H15" s="15">
        <v>0</v>
      </c>
      <c r="I15" s="15">
        <v>100</v>
      </c>
      <c r="J15" s="15">
        <v>0</v>
      </c>
      <c r="K15" s="15"/>
      <c r="M15" s="194"/>
      <c r="N15" s="15"/>
      <c r="O15" s="15"/>
    </row>
    <row r="16" spans="1:17" ht="15" customHeight="1" x14ac:dyDescent="0.25">
      <c r="A16" s="125">
        <v>43075</v>
      </c>
      <c r="B16" s="108"/>
      <c r="C16" s="126">
        <v>0.42799999999999999</v>
      </c>
      <c r="D16" s="127"/>
      <c r="E16" s="128"/>
      <c r="F16" s="128" t="s">
        <v>17</v>
      </c>
      <c r="G16" s="108"/>
      <c r="H16" s="15">
        <v>0</v>
      </c>
      <c r="I16" s="15">
        <v>100</v>
      </c>
      <c r="J16" s="15">
        <v>0</v>
      </c>
      <c r="K16" s="15"/>
      <c r="M16" s="194"/>
      <c r="N16" s="15"/>
      <c r="O16" s="15"/>
    </row>
    <row r="17" spans="1:15" ht="15" customHeight="1" x14ac:dyDescent="0.25">
      <c r="A17" s="125">
        <v>43076</v>
      </c>
      <c r="B17" s="108"/>
      <c r="C17" s="126">
        <v>0.53600000000000003</v>
      </c>
      <c r="D17" s="127"/>
      <c r="E17" s="128"/>
      <c r="F17" s="128" t="s">
        <v>17</v>
      </c>
      <c r="G17" s="108"/>
      <c r="H17" s="15">
        <v>0</v>
      </c>
      <c r="I17" s="15">
        <v>100</v>
      </c>
      <c r="J17" s="15">
        <v>0</v>
      </c>
      <c r="K17" s="15"/>
      <c r="M17" s="194"/>
      <c r="N17" s="15"/>
      <c r="O17" s="15"/>
    </row>
    <row r="18" spans="1:15" ht="15" customHeight="1" x14ac:dyDescent="0.25">
      <c r="A18" s="129">
        <v>43089</v>
      </c>
      <c r="B18" s="130"/>
      <c r="C18" s="131">
        <v>0.58899999999999997</v>
      </c>
      <c r="D18" s="132"/>
      <c r="E18" s="2"/>
      <c r="F18" s="2" t="s">
        <v>17</v>
      </c>
      <c r="G18" s="130"/>
      <c r="H18" s="15">
        <v>0</v>
      </c>
      <c r="I18" s="15">
        <v>100</v>
      </c>
      <c r="J18" s="15">
        <v>0</v>
      </c>
      <c r="K18" s="15"/>
      <c r="M18" s="194"/>
      <c r="N18" s="15"/>
      <c r="O18" s="15"/>
    </row>
    <row r="19" spans="1:15" ht="15" customHeight="1" x14ac:dyDescent="0.25">
      <c r="A19" s="129">
        <v>43090</v>
      </c>
      <c r="B19" s="130"/>
      <c r="C19" s="131">
        <v>0.49</v>
      </c>
      <c r="D19" s="132"/>
      <c r="E19" s="2"/>
      <c r="F19" s="2" t="s">
        <v>17</v>
      </c>
      <c r="G19" s="130"/>
      <c r="H19" s="15">
        <v>0</v>
      </c>
      <c r="I19" s="15">
        <v>100</v>
      </c>
      <c r="J19" s="15">
        <v>0</v>
      </c>
      <c r="K19" s="15"/>
      <c r="M19" s="194"/>
      <c r="N19" s="15"/>
      <c r="O19" s="15"/>
    </row>
    <row r="20" spans="1:15" ht="15" customHeight="1" x14ac:dyDescent="0.25">
      <c r="A20" s="129">
        <v>43091</v>
      </c>
      <c r="B20" s="130"/>
      <c r="C20" s="131">
        <v>0.39400000000000002</v>
      </c>
      <c r="D20" s="132"/>
      <c r="E20" s="2"/>
      <c r="F20" s="2" t="s">
        <v>17</v>
      </c>
      <c r="G20" s="130"/>
      <c r="H20" s="15">
        <v>0</v>
      </c>
      <c r="I20" s="15">
        <v>100</v>
      </c>
      <c r="J20" s="15">
        <v>0</v>
      </c>
      <c r="K20" s="15"/>
      <c r="M20" s="194"/>
      <c r="N20" s="15"/>
      <c r="O20" s="15"/>
    </row>
    <row r="21" spans="1:15" ht="15" customHeight="1" x14ac:dyDescent="0.25">
      <c r="A21" s="129">
        <v>43092</v>
      </c>
      <c r="B21" s="130"/>
      <c r="C21" s="131">
        <v>0.30299999999999999</v>
      </c>
      <c r="D21" s="132"/>
      <c r="E21" s="2"/>
      <c r="F21" s="2" t="s">
        <v>13</v>
      </c>
      <c r="G21" s="130"/>
      <c r="H21" s="15">
        <v>0</v>
      </c>
      <c r="I21" s="15">
        <v>100</v>
      </c>
      <c r="J21" s="15">
        <v>0</v>
      </c>
      <c r="K21" s="15"/>
      <c r="M21" s="194"/>
      <c r="N21" s="14"/>
      <c r="O21" s="15"/>
    </row>
    <row r="22" spans="1:15" ht="15" customHeight="1" x14ac:dyDescent="0.25">
      <c r="A22" s="129">
        <v>43093</v>
      </c>
      <c r="B22" s="130" t="s">
        <v>18</v>
      </c>
      <c r="C22" s="131">
        <v>0.22</v>
      </c>
      <c r="D22" s="132">
        <v>1</v>
      </c>
      <c r="E22" s="2">
        <v>0</v>
      </c>
      <c r="F22" s="2" t="s">
        <v>19</v>
      </c>
      <c r="G22" s="130" t="s">
        <v>20</v>
      </c>
      <c r="H22" s="15">
        <v>100</v>
      </c>
      <c r="I22" s="15">
        <v>0</v>
      </c>
      <c r="J22" s="15">
        <v>0</v>
      </c>
      <c r="K22" s="15"/>
      <c r="M22" s="194"/>
      <c r="N22" s="14"/>
      <c r="O22" s="15"/>
    </row>
    <row r="23" spans="1:15" ht="15" customHeight="1" x14ac:dyDescent="0.25">
      <c r="A23" s="205">
        <v>2017</v>
      </c>
      <c r="B23" s="205"/>
      <c r="C23" s="205"/>
      <c r="D23" s="205"/>
      <c r="E23" s="205"/>
      <c r="F23" s="205"/>
      <c r="G23" s="205"/>
      <c r="M23" s="194"/>
      <c r="N23" s="14"/>
      <c r="O23" s="15"/>
    </row>
    <row r="24" spans="1:15" ht="15" customHeight="1" x14ac:dyDescent="0.25">
      <c r="A24" s="125">
        <v>42737</v>
      </c>
      <c r="B24" s="108"/>
      <c r="C24" s="126">
        <v>0.187</v>
      </c>
      <c r="D24" s="127">
        <v>0</v>
      </c>
      <c r="E24" s="128"/>
      <c r="F24" s="128" t="s">
        <v>19</v>
      </c>
      <c r="G24" s="108" t="s">
        <v>21</v>
      </c>
      <c r="H24" s="15">
        <v>0</v>
      </c>
      <c r="I24" s="15">
        <v>0</v>
      </c>
      <c r="J24" s="15">
        <v>100</v>
      </c>
      <c r="K24" s="15"/>
      <c r="M24" s="194"/>
      <c r="N24" s="14"/>
      <c r="O24" s="15"/>
    </row>
    <row r="25" spans="1:15" ht="15" customHeight="1" x14ac:dyDescent="0.25">
      <c r="A25" s="125">
        <v>42738</v>
      </c>
      <c r="B25" s="108"/>
      <c r="C25" s="126">
        <v>0.27600000000000002</v>
      </c>
      <c r="D25" s="127"/>
      <c r="E25" s="133"/>
      <c r="F25" s="128" t="s">
        <v>13</v>
      </c>
      <c r="G25" s="108" t="s">
        <v>22</v>
      </c>
      <c r="H25" s="15">
        <v>0</v>
      </c>
      <c r="I25" s="15">
        <v>0</v>
      </c>
      <c r="J25" s="15">
        <v>100</v>
      </c>
      <c r="K25" s="15"/>
      <c r="M25" s="194"/>
      <c r="N25" s="14"/>
      <c r="O25" s="15"/>
    </row>
    <row r="26" spans="1:15" ht="15" customHeight="1" x14ac:dyDescent="0.25">
      <c r="A26" s="125">
        <v>42739</v>
      </c>
      <c r="B26" s="108"/>
      <c r="C26" s="126">
        <v>0.378</v>
      </c>
      <c r="D26" s="127"/>
      <c r="E26" s="133"/>
      <c r="F26" s="128" t="s">
        <v>13</v>
      </c>
      <c r="G26" s="108" t="s">
        <v>22</v>
      </c>
      <c r="H26" s="15">
        <v>0</v>
      </c>
      <c r="I26" s="15">
        <v>0</v>
      </c>
      <c r="J26" s="15">
        <v>100</v>
      </c>
      <c r="K26" s="15"/>
      <c r="M26" s="194"/>
      <c r="N26" s="14"/>
      <c r="O26" s="15"/>
    </row>
    <row r="27" spans="1:15" ht="15" customHeight="1" x14ac:dyDescent="0.25">
      <c r="A27" s="125">
        <v>42740</v>
      </c>
      <c r="B27" s="108"/>
      <c r="C27" s="126">
        <v>0.48799999999999999</v>
      </c>
      <c r="D27" s="127"/>
      <c r="E27" s="133"/>
      <c r="F27" s="128" t="s">
        <v>13</v>
      </c>
      <c r="G27" s="108" t="s">
        <v>22</v>
      </c>
      <c r="H27" s="15">
        <v>0</v>
      </c>
      <c r="I27" s="15">
        <v>0</v>
      </c>
      <c r="J27" s="15">
        <v>100</v>
      </c>
      <c r="K27" s="15"/>
      <c r="M27" s="194"/>
      <c r="N27" s="14"/>
      <c r="O27" s="15"/>
    </row>
    <row r="28" spans="1:15" ht="15" customHeight="1" x14ac:dyDescent="0.25">
      <c r="A28" s="129">
        <v>42754</v>
      </c>
      <c r="B28" s="130" t="s">
        <v>23</v>
      </c>
      <c r="C28" s="131">
        <v>0.59099999999999997</v>
      </c>
      <c r="D28" s="134"/>
      <c r="E28" s="2"/>
      <c r="F28" s="2" t="s">
        <v>13</v>
      </c>
      <c r="G28" s="130"/>
      <c r="H28" s="15">
        <v>0</v>
      </c>
      <c r="I28" s="15">
        <v>100</v>
      </c>
      <c r="J28" s="15">
        <v>0</v>
      </c>
      <c r="K28" s="15"/>
      <c r="M28" s="194"/>
      <c r="N28" s="14"/>
      <c r="O28" s="15"/>
    </row>
    <row r="29" spans="1:15" ht="15" customHeight="1" x14ac:dyDescent="0.25">
      <c r="A29" s="129">
        <v>42755</v>
      </c>
      <c r="B29" s="130" t="s">
        <v>24</v>
      </c>
      <c r="C29" s="131">
        <v>0.49</v>
      </c>
      <c r="D29" s="134"/>
      <c r="E29" s="2"/>
      <c r="F29" s="2" t="s">
        <v>25</v>
      </c>
      <c r="G29" s="130"/>
      <c r="H29" s="15">
        <v>0</v>
      </c>
      <c r="I29" s="15">
        <v>100</v>
      </c>
      <c r="J29" s="15">
        <v>0</v>
      </c>
      <c r="K29" s="15"/>
      <c r="M29" s="194"/>
      <c r="N29" s="14"/>
      <c r="O29" s="15"/>
    </row>
    <row r="30" spans="1:15" ht="15" customHeight="1" x14ac:dyDescent="0.25">
      <c r="A30" s="129">
        <v>42756</v>
      </c>
      <c r="B30" s="130" t="s">
        <v>26</v>
      </c>
      <c r="C30" s="131">
        <v>0.39300000000000002</v>
      </c>
      <c r="D30" s="134"/>
      <c r="E30" s="2"/>
      <c r="F30" s="2" t="s">
        <v>27</v>
      </c>
      <c r="G30" s="130"/>
      <c r="H30" s="15">
        <v>0</v>
      </c>
      <c r="I30" s="15">
        <v>100</v>
      </c>
      <c r="J30" s="15">
        <v>0</v>
      </c>
      <c r="K30" s="15"/>
      <c r="M30" s="194"/>
      <c r="N30" s="14"/>
      <c r="O30" s="15"/>
    </row>
    <row r="31" spans="1:15" ht="15" customHeight="1" x14ac:dyDescent="0.25">
      <c r="A31" s="129">
        <v>42757</v>
      </c>
      <c r="B31" s="130" t="s">
        <v>28</v>
      </c>
      <c r="C31" s="131">
        <v>0.29899999999999999</v>
      </c>
      <c r="D31" s="134"/>
      <c r="E31" s="2"/>
      <c r="F31" s="2" t="s">
        <v>13</v>
      </c>
      <c r="G31" s="130"/>
      <c r="H31" s="15">
        <v>0</v>
      </c>
      <c r="I31" s="15">
        <v>100</v>
      </c>
      <c r="J31" s="15">
        <v>0</v>
      </c>
      <c r="K31" s="15"/>
      <c r="M31" s="194"/>
      <c r="N31" s="14"/>
      <c r="O31" s="15"/>
    </row>
    <row r="32" spans="1:15" ht="15" customHeight="1" x14ac:dyDescent="0.25">
      <c r="A32" s="129">
        <v>42758</v>
      </c>
      <c r="B32" s="130" t="s">
        <v>29</v>
      </c>
      <c r="C32" s="131">
        <v>0.214</v>
      </c>
      <c r="D32" s="134"/>
      <c r="E32" s="2"/>
      <c r="F32" s="2" t="s">
        <v>13</v>
      </c>
      <c r="G32" s="130"/>
      <c r="H32" s="15">
        <v>0</v>
      </c>
      <c r="I32" s="15">
        <v>100</v>
      </c>
      <c r="J32" s="15">
        <v>0</v>
      </c>
      <c r="K32" s="15"/>
      <c r="M32" s="194"/>
      <c r="N32" s="14"/>
      <c r="O32" s="15"/>
    </row>
    <row r="33" spans="1:15" ht="15" customHeight="1" x14ac:dyDescent="0.25">
      <c r="A33" s="129">
        <v>42759</v>
      </c>
      <c r="B33" s="130" t="s">
        <v>30</v>
      </c>
      <c r="C33" s="131">
        <v>0.13900000000000001</v>
      </c>
      <c r="D33" s="134"/>
      <c r="E33" s="2"/>
      <c r="F33" s="2" t="s">
        <v>13</v>
      </c>
      <c r="G33" s="130"/>
      <c r="H33" s="15">
        <v>0</v>
      </c>
      <c r="I33" s="15">
        <v>100</v>
      </c>
      <c r="J33" s="15">
        <v>0</v>
      </c>
      <c r="K33" s="15"/>
      <c r="M33" s="194"/>
      <c r="N33" s="14"/>
      <c r="O33" s="15"/>
    </row>
    <row r="34" spans="1:15" ht="15" customHeight="1" x14ac:dyDescent="0.25">
      <c r="A34" s="125">
        <v>42766</v>
      </c>
      <c r="B34" s="108" t="s">
        <v>31</v>
      </c>
      <c r="C34" s="126">
        <v>0.14799999999999999</v>
      </c>
      <c r="D34" s="127"/>
      <c r="E34" s="133"/>
      <c r="F34" s="128" t="s">
        <v>45</v>
      </c>
      <c r="G34" s="108"/>
      <c r="H34" s="15">
        <v>0</v>
      </c>
      <c r="I34" s="15">
        <v>100</v>
      </c>
      <c r="J34" s="15">
        <v>0</v>
      </c>
      <c r="K34" s="15"/>
      <c r="M34" s="194"/>
      <c r="N34" s="14"/>
      <c r="O34" s="15"/>
    </row>
    <row r="35" spans="1:15" ht="15" customHeight="1" x14ac:dyDescent="0.25">
      <c r="A35" s="125">
        <v>42767</v>
      </c>
      <c r="B35" s="108" t="s">
        <v>32</v>
      </c>
      <c r="C35" s="126">
        <v>0.23400000000000001</v>
      </c>
      <c r="D35" s="127">
        <v>100</v>
      </c>
      <c r="E35" s="128">
        <v>1</v>
      </c>
      <c r="F35" s="128" t="s">
        <v>46</v>
      </c>
      <c r="G35" s="108"/>
      <c r="H35" s="15">
        <v>100</v>
      </c>
      <c r="I35" s="15">
        <v>0</v>
      </c>
      <c r="J35" s="15">
        <v>0</v>
      </c>
      <c r="K35" s="15"/>
      <c r="M35" s="194">
        <v>3717.33</v>
      </c>
      <c r="N35" s="14">
        <f>M35/60</f>
        <v>61.955500000000001</v>
      </c>
      <c r="O35" s="14">
        <f>N35/60</f>
        <v>1.0325916666666666</v>
      </c>
    </row>
    <row r="36" spans="1:15" ht="15" customHeight="1" x14ac:dyDescent="0.25">
      <c r="A36" s="125">
        <v>42768</v>
      </c>
      <c r="B36" s="108" t="s">
        <v>33</v>
      </c>
      <c r="C36" s="126">
        <v>0.33500000000000002</v>
      </c>
      <c r="D36" s="127">
        <v>0</v>
      </c>
      <c r="E36" s="133"/>
      <c r="F36" s="128" t="s">
        <v>13</v>
      </c>
      <c r="G36" s="108"/>
      <c r="H36" s="15">
        <v>0</v>
      </c>
      <c r="I36" s="15">
        <v>100</v>
      </c>
      <c r="J36" s="15">
        <v>0</v>
      </c>
      <c r="K36" s="15"/>
      <c r="M36" s="194"/>
      <c r="N36" s="14"/>
      <c r="O36" s="14"/>
    </row>
    <row r="37" spans="1:15" ht="15" customHeight="1" x14ac:dyDescent="0.25">
      <c r="A37" s="125">
        <v>42769</v>
      </c>
      <c r="B37" s="108" t="s">
        <v>34</v>
      </c>
      <c r="C37" s="126">
        <v>0.44600000000000001</v>
      </c>
      <c r="D37" s="127">
        <v>0</v>
      </c>
      <c r="E37" s="133"/>
      <c r="F37" s="128" t="s">
        <v>13</v>
      </c>
      <c r="G37" s="108"/>
      <c r="H37" s="15">
        <v>0</v>
      </c>
      <c r="I37" s="15">
        <v>100</v>
      </c>
      <c r="J37" s="15">
        <v>0</v>
      </c>
      <c r="K37" s="15"/>
      <c r="M37" s="194"/>
      <c r="N37" s="14"/>
      <c r="O37" s="14"/>
    </row>
    <row r="38" spans="1:15" ht="15" customHeight="1" x14ac:dyDescent="0.25">
      <c r="A38" s="125">
        <v>42770</v>
      </c>
      <c r="B38" s="108" t="s">
        <v>35</v>
      </c>
      <c r="C38" s="126">
        <v>0.56000000000000005</v>
      </c>
      <c r="D38" s="127">
        <v>0</v>
      </c>
      <c r="E38" s="133"/>
      <c r="F38" s="128" t="s">
        <v>13</v>
      </c>
      <c r="G38" s="108"/>
      <c r="H38" s="15">
        <v>0</v>
      </c>
      <c r="I38" s="15">
        <v>100</v>
      </c>
      <c r="J38" s="15">
        <v>0</v>
      </c>
      <c r="K38" s="15"/>
      <c r="M38" s="194"/>
      <c r="N38" s="14"/>
      <c r="O38" s="14"/>
    </row>
    <row r="39" spans="1:15" ht="15" customHeight="1" x14ac:dyDescent="0.25">
      <c r="A39" s="129">
        <v>42784</v>
      </c>
      <c r="B39" s="130" t="s">
        <v>36</v>
      </c>
      <c r="C39" s="131">
        <v>0.57599999999999996</v>
      </c>
      <c r="D39" s="132">
        <v>100</v>
      </c>
      <c r="E39" s="2">
        <v>0</v>
      </c>
      <c r="F39" s="2" t="s">
        <v>19</v>
      </c>
      <c r="G39" s="130" t="s">
        <v>49</v>
      </c>
      <c r="H39" s="15">
        <v>100</v>
      </c>
      <c r="I39" s="15">
        <v>0</v>
      </c>
      <c r="J39" s="15">
        <v>0</v>
      </c>
      <c r="K39" s="15"/>
      <c r="M39" s="194"/>
      <c r="N39" s="14"/>
      <c r="O39" s="14"/>
    </row>
    <row r="40" spans="1:15" ht="15" customHeight="1" x14ac:dyDescent="0.25">
      <c r="A40" s="129">
        <v>42785</v>
      </c>
      <c r="B40" s="130" t="s">
        <v>37</v>
      </c>
      <c r="C40" s="131">
        <v>0.47799999999999998</v>
      </c>
      <c r="D40" s="132">
        <v>5</v>
      </c>
      <c r="E40" s="2">
        <v>0</v>
      </c>
      <c r="F40" s="2" t="s">
        <v>13</v>
      </c>
      <c r="G40" s="130" t="s">
        <v>266</v>
      </c>
      <c r="H40" s="15">
        <v>5</v>
      </c>
      <c r="I40" s="15">
        <v>95</v>
      </c>
      <c r="J40" s="15">
        <v>0</v>
      </c>
      <c r="K40" s="15"/>
      <c r="M40" s="194">
        <v>574.91</v>
      </c>
      <c r="N40" s="14">
        <f t="shared" ref="N40:N98" si="0">M40/60</f>
        <v>9.5818333333333321</v>
      </c>
      <c r="O40" s="14">
        <f t="shared" ref="O40:O98" si="1">N40/60</f>
        <v>0.15969722222222221</v>
      </c>
    </row>
    <row r="41" spans="1:15" ht="13.5" customHeight="1" x14ac:dyDescent="0.25">
      <c r="A41" s="129">
        <v>42786</v>
      </c>
      <c r="B41" s="130" t="s">
        <v>38</v>
      </c>
      <c r="C41" s="131">
        <v>0.377</v>
      </c>
      <c r="D41" s="132">
        <v>80</v>
      </c>
      <c r="E41" s="2">
        <v>0</v>
      </c>
      <c r="F41" s="2" t="s">
        <v>50</v>
      </c>
      <c r="G41" s="130" t="s">
        <v>51</v>
      </c>
      <c r="H41" s="15">
        <v>80</v>
      </c>
      <c r="I41" s="15">
        <v>20</v>
      </c>
      <c r="J41" s="15">
        <v>0</v>
      </c>
      <c r="K41" s="15"/>
      <c r="M41" s="194">
        <v>3461.68</v>
      </c>
      <c r="N41" s="14">
        <f t="shared" si="0"/>
        <v>57.694666666666663</v>
      </c>
      <c r="O41" s="14">
        <f t="shared" si="1"/>
        <v>0.96157777777777775</v>
      </c>
    </row>
    <row r="42" spans="1:15" ht="15" customHeight="1" x14ac:dyDescent="0.25">
      <c r="A42" s="129">
        <v>42787</v>
      </c>
      <c r="B42" s="130" t="s">
        <v>39</v>
      </c>
      <c r="C42" s="131">
        <v>0.28699999999999998</v>
      </c>
      <c r="D42" s="132">
        <v>100</v>
      </c>
      <c r="E42" s="2">
        <v>0</v>
      </c>
      <c r="F42" s="2" t="s">
        <v>19</v>
      </c>
      <c r="G42" s="130"/>
      <c r="H42" s="15">
        <v>100</v>
      </c>
      <c r="I42" s="15">
        <v>0</v>
      </c>
      <c r="J42" s="15">
        <v>0</v>
      </c>
      <c r="K42" s="15"/>
      <c r="M42" s="194">
        <v>2828.38</v>
      </c>
      <c r="N42" s="14">
        <f t="shared" si="0"/>
        <v>47.13966666666667</v>
      </c>
      <c r="O42" s="14">
        <f t="shared" si="1"/>
        <v>0.78566111111111114</v>
      </c>
    </row>
    <row r="43" spans="1:15" ht="15" customHeight="1" x14ac:dyDescent="0.25">
      <c r="A43" s="125">
        <v>42795</v>
      </c>
      <c r="B43" s="108" t="s">
        <v>57</v>
      </c>
      <c r="C43" s="126">
        <v>0.11799999999999999</v>
      </c>
      <c r="D43" s="127">
        <v>90</v>
      </c>
      <c r="E43" s="128">
        <v>2</v>
      </c>
      <c r="F43" s="128" t="s">
        <v>199</v>
      </c>
      <c r="G43" s="108" t="s">
        <v>200</v>
      </c>
      <c r="H43" s="15">
        <v>90</v>
      </c>
      <c r="I43" s="15">
        <v>10</v>
      </c>
      <c r="J43" s="15">
        <v>0</v>
      </c>
      <c r="K43" s="15"/>
      <c r="M43" s="14">
        <v>1627.2</v>
      </c>
      <c r="N43" s="14">
        <f t="shared" si="0"/>
        <v>27.12</v>
      </c>
      <c r="O43" s="14">
        <f t="shared" si="1"/>
        <v>0.45200000000000001</v>
      </c>
    </row>
    <row r="44" spans="1:15" ht="15" customHeight="1" x14ac:dyDescent="0.25">
      <c r="A44" s="125">
        <v>42796</v>
      </c>
      <c r="B44" s="108" t="s">
        <v>58</v>
      </c>
      <c r="C44" s="126">
        <v>0.20200000000000001</v>
      </c>
      <c r="D44" s="127">
        <v>100</v>
      </c>
      <c r="E44" s="128">
        <v>0</v>
      </c>
      <c r="F44" s="128" t="s">
        <v>201</v>
      </c>
      <c r="G44" s="108"/>
      <c r="H44" s="15">
        <v>100</v>
      </c>
      <c r="I44" s="15">
        <v>0</v>
      </c>
      <c r="J44" s="15">
        <v>0</v>
      </c>
      <c r="K44" s="15"/>
      <c r="M44" s="14">
        <v>4441.12</v>
      </c>
      <c r="N44" s="14">
        <f t="shared" si="0"/>
        <v>74.018666666666661</v>
      </c>
      <c r="O44" s="14">
        <f t="shared" si="1"/>
        <v>1.2336444444444443</v>
      </c>
    </row>
    <row r="45" spans="1:15" ht="15" customHeight="1" x14ac:dyDescent="0.25">
      <c r="A45" s="125">
        <v>42797</v>
      </c>
      <c r="B45" s="108" t="s">
        <v>59</v>
      </c>
      <c r="C45" s="126">
        <v>0.30199999999999999</v>
      </c>
      <c r="D45" s="127">
        <v>100</v>
      </c>
      <c r="E45" s="128">
        <v>0</v>
      </c>
      <c r="F45" s="128" t="s">
        <v>201</v>
      </c>
      <c r="G45" s="108"/>
      <c r="H45" s="15">
        <v>100</v>
      </c>
      <c r="I45" s="15">
        <v>0</v>
      </c>
      <c r="J45" s="15">
        <v>0</v>
      </c>
      <c r="K45" s="15"/>
      <c r="M45" s="14">
        <v>6652.87</v>
      </c>
      <c r="N45" s="14">
        <f t="shared" si="0"/>
        <v>110.88116666666666</v>
      </c>
      <c r="O45" s="14">
        <f t="shared" si="1"/>
        <v>1.8480194444444442</v>
      </c>
    </row>
    <row r="46" spans="1:15" ht="15" customHeight="1" x14ac:dyDescent="0.25">
      <c r="A46" s="125">
        <v>42798</v>
      </c>
      <c r="B46" s="108" t="s">
        <v>60</v>
      </c>
      <c r="C46" s="126">
        <v>0.41199999999999998</v>
      </c>
      <c r="D46" s="127">
        <v>100</v>
      </c>
      <c r="E46" s="135">
        <v>1</v>
      </c>
      <c r="F46" s="128" t="s">
        <v>201</v>
      </c>
      <c r="G46" s="108"/>
      <c r="H46" s="15">
        <v>100</v>
      </c>
      <c r="I46" s="15">
        <v>0</v>
      </c>
      <c r="J46" s="15">
        <v>0</v>
      </c>
      <c r="K46" s="15"/>
      <c r="M46" s="14">
        <v>8922.34</v>
      </c>
      <c r="N46" s="14">
        <f t="shared" si="0"/>
        <v>148.70566666666667</v>
      </c>
      <c r="O46" s="14">
        <f t="shared" si="1"/>
        <v>2.4784277777777777</v>
      </c>
    </row>
    <row r="47" spans="1:15" ht="20.25" customHeight="1" x14ac:dyDescent="0.25">
      <c r="A47" s="206" t="s">
        <v>47</v>
      </c>
      <c r="B47" s="206"/>
      <c r="C47" s="206"/>
      <c r="D47" s="206"/>
      <c r="E47" s="206"/>
      <c r="F47" s="206"/>
      <c r="G47" s="206"/>
      <c r="N47" s="14"/>
      <c r="O47" s="14"/>
    </row>
    <row r="48" spans="1:15" ht="15" customHeight="1" x14ac:dyDescent="0.25">
      <c r="A48" s="129">
        <v>42815</v>
      </c>
      <c r="B48" s="130" t="s">
        <v>61</v>
      </c>
      <c r="C48" s="131">
        <v>0.46200000000000002</v>
      </c>
      <c r="D48" s="127" t="str">
        <f>IF(C48&gt;0.5, "yes","")</f>
        <v/>
      </c>
      <c r="E48" s="2"/>
      <c r="F48" s="2" t="s">
        <v>203</v>
      </c>
      <c r="G48" s="129"/>
      <c r="N48" s="14"/>
      <c r="O48" s="14"/>
    </row>
    <row r="49" spans="1:15" ht="15" customHeight="1" x14ac:dyDescent="0.25">
      <c r="A49" s="129">
        <v>42816</v>
      </c>
      <c r="B49" s="130" t="s">
        <v>62</v>
      </c>
      <c r="C49" s="131">
        <v>0.36099999999999999</v>
      </c>
      <c r="D49" s="127" t="str">
        <f t="shared" ref="D49:D53" si="2">IF(C49&gt;0.5, "yes","")</f>
        <v/>
      </c>
      <c r="E49" s="2"/>
      <c r="F49" s="136" t="s">
        <v>13</v>
      </c>
      <c r="G49" s="129"/>
      <c r="H49" s="15">
        <v>0</v>
      </c>
      <c r="I49" s="15">
        <v>100</v>
      </c>
      <c r="J49" s="15">
        <v>0</v>
      </c>
      <c r="K49" s="15"/>
      <c r="N49" s="14"/>
      <c r="O49" s="14"/>
    </row>
    <row r="50" spans="1:15" ht="15" customHeight="1" x14ac:dyDescent="0.25">
      <c r="A50" s="125">
        <v>42825</v>
      </c>
      <c r="B50" s="108" t="s">
        <v>63</v>
      </c>
      <c r="C50" s="126">
        <v>0.17399999999999999</v>
      </c>
      <c r="D50" s="127">
        <v>50</v>
      </c>
      <c r="E50" s="128">
        <v>0</v>
      </c>
      <c r="F50" s="128" t="s">
        <v>204</v>
      </c>
      <c r="G50" s="125"/>
      <c r="H50" s="15">
        <v>50</v>
      </c>
      <c r="I50" s="15">
        <v>40</v>
      </c>
      <c r="J50" s="15">
        <v>10</v>
      </c>
      <c r="K50" s="15"/>
      <c r="M50" s="14">
        <v>3113.95</v>
      </c>
      <c r="N50" s="14">
        <f t="shared" si="0"/>
        <v>51.899166666666666</v>
      </c>
      <c r="O50" s="14">
        <f t="shared" si="1"/>
        <v>0.86498611111111112</v>
      </c>
    </row>
    <row r="51" spans="1:15" ht="15" customHeight="1" x14ac:dyDescent="0.25">
      <c r="A51" s="125">
        <v>42826</v>
      </c>
      <c r="B51" s="108" t="s">
        <v>64</v>
      </c>
      <c r="C51" s="126">
        <v>0.27100000000000002</v>
      </c>
      <c r="D51" s="127">
        <v>100</v>
      </c>
      <c r="E51" s="128">
        <v>1</v>
      </c>
      <c r="F51" s="128" t="s">
        <v>201</v>
      </c>
      <c r="G51" s="125"/>
      <c r="H51" s="15">
        <v>100</v>
      </c>
      <c r="I51" s="15">
        <v>0</v>
      </c>
      <c r="J51" s="15">
        <v>0</v>
      </c>
      <c r="K51" s="15"/>
      <c r="M51" s="14">
        <v>5624.58</v>
      </c>
      <c r="N51" s="14">
        <f t="shared" si="0"/>
        <v>93.742999999999995</v>
      </c>
      <c r="O51" s="14">
        <f t="shared" si="1"/>
        <v>1.5623833333333332</v>
      </c>
    </row>
    <row r="52" spans="1:15" ht="15" customHeight="1" x14ac:dyDescent="0.25">
      <c r="A52" s="125">
        <v>42827</v>
      </c>
      <c r="B52" s="108" t="s">
        <v>65</v>
      </c>
      <c r="C52" s="126">
        <v>0.38</v>
      </c>
      <c r="D52" s="127">
        <v>5</v>
      </c>
      <c r="E52" s="128">
        <v>0</v>
      </c>
      <c r="F52" s="128" t="s">
        <v>13</v>
      </c>
      <c r="G52" s="125"/>
      <c r="H52" s="15">
        <v>5</v>
      </c>
      <c r="I52" s="15">
        <v>95</v>
      </c>
      <c r="J52" s="15">
        <v>0</v>
      </c>
      <c r="K52" s="15"/>
      <c r="M52" s="14">
        <v>535.49</v>
      </c>
      <c r="N52" s="14">
        <f t="shared" si="0"/>
        <v>8.9248333333333338</v>
      </c>
      <c r="O52" s="14">
        <f t="shared" si="1"/>
        <v>0.14874722222222223</v>
      </c>
    </row>
    <row r="53" spans="1:15" ht="15" customHeight="1" x14ac:dyDescent="0.25">
      <c r="A53" s="125">
        <v>42828</v>
      </c>
      <c r="B53" s="108" t="s">
        <v>56</v>
      </c>
      <c r="C53" s="126">
        <v>0.49399999999999999</v>
      </c>
      <c r="D53" s="127" t="str">
        <f t="shared" si="2"/>
        <v/>
      </c>
      <c r="E53" s="128"/>
      <c r="F53" s="128" t="s">
        <v>203</v>
      </c>
      <c r="G53" s="125"/>
      <c r="N53" s="14"/>
      <c r="O53" s="14"/>
    </row>
    <row r="54" spans="1:15" ht="15" customHeight="1" x14ac:dyDescent="0.25">
      <c r="A54" s="129">
        <v>42845</v>
      </c>
      <c r="B54" s="130" t="s">
        <v>66</v>
      </c>
      <c r="C54" s="131">
        <v>0.436</v>
      </c>
      <c r="D54" s="127">
        <v>0</v>
      </c>
      <c r="E54" s="2"/>
      <c r="F54" s="2" t="s">
        <v>13</v>
      </c>
      <c r="G54" s="129"/>
      <c r="H54" s="15">
        <v>0</v>
      </c>
      <c r="I54" s="15">
        <v>100</v>
      </c>
      <c r="J54" s="15">
        <v>0</v>
      </c>
      <c r="K54" s="15"/>
      <c r="L54" s="12"/>
      <c r="N54" s="14"/>
      <c r="O54" s="14"/>
    </row>
    <row r="55" spans="1:15" ht="15" customHeight="1" x14ac:dyDescent="0.25">
      <c r="A55" s="129">
        <v>42846</v>
      </c>
      <c r="B55" s="130" t="s">
        <v>67</v>
      </c>
      <c r="C55" s="131">
        <v>0.33400000000000002</v>
      </c>
      <c r="D55" s="127">
        <v>0</v>
      </c>
      <c r="E55" s="2"/>
      <c r="F55" s="2" t="s">
        <v>13</v>
      </c>
      <c r="G55" s="129"/>
      <c r="H55" s="15">
        <v>0</v>
      </c>
      <c r="I55" s="15">
        <v>100</v>
      </c>
      <c r="J55" s="15">
        <v>0</v>
      </c>
      <c r="K55" s="15"/>
      <c r="N55" s="14"/>
      <c r="O55" s="14"/>
    </row>
    <row r="56" spans="1:15" ht="15" customHeight="1" x14ac:dyDescent="0.25">
      <c r="A56" s="125">
        <v>42854</v>
      </c>
      <c r="B56" s="108" t="s">
        <v>68</v>
      </c>
      <c r="C56" s="126">
        <v>0.153</v>
      </c>
      <c r="D56" s="127">
        <v>0</v>
      </c>
      <c r="E56" s="128"/>
      <c r="F56" s="128" t="s">
        <v>13</v>
      </c>
      <c r="G56" s="125"/>
      <c r="H56" s="15">
        <v>0</v>
      </c>
      <c r="I56" s="15">
        <v>100</v>
      </c>
      <c r="J56" s="15">
        <v>0</v>
      </c>
      <c r="K56" s="15"/>
      <c r="N56" s="14"/>
      <c r="O56" s="14"/>
    </row>
    <row r="57" spans="1:15" ht="15" customHeight="1" x14ac:dyDescent="0.25">
      <c r="A57" s="125">
        <v>42855</v>
      </c>
      <c r="B57" s="108" t="s">
        <v>69</v>
      </c>
      <c r="C57" s="126">
        <v>0.252</v>
      </c>
      <c r="D57" s="127">
        <v>50</v>
      </c>
      <c r="E57" s="128">
        <v>0</v>
      </c>
      <c r="F57" s="128" t="s">
        <v>206</v>
      </c>
      <c r="G57" s="125"/>
      <c r="H57" s="15">
        <v>50</v>
      </c>
      <c r="I57" s="15">
        <v>50</v>
      </c>
      <c r="J57" s="15">
        <v>0</v>
      </c>
      <c r="K57" s="15"/>
      <c r="M57" s="14">
        <v>2631.82</v>
      </c>
      <c r="N57" s="14">
        <f t="shared" si="0"/>
        <v>43.863666666666667</v>
      </c>
      <c r="O57" s="14">
        <f t="shared" si="1"/>
        <v>0.73106111111111116</v>
      </c>
    </row>
    <row r="58" spans="1:15" ht="15" customHeight="1" x14ac:dyDescent="0.25">
      <c r="A58" s="125">
        <v>42856</v>
      </c>
      <c r="B58" s="108" t="s">
        <v>70</v>
      </c>
      <c r="C58" s="126">
        <v>0.35</v>
      </c>
      <c r="D58" s="127">
        <v>90</v>
      </c>
      <c r="E58" s="128"/>
      <c r="F58" s="128" t="s">
        <v>198</v>
      </c>
      <c r="G58" s="125"/>
      <c r="H58" s="15">
        <v>90</v>
      </c>
      <c r="I58" s="15">
        <v>10</v>
      </c>
      <c r="J58" s="15">
        <v>0</v>
      </c>
      <c r="K58" s="15"/>
      <c r="M58" s="14">
        <v>5327.33</v>
      </c>
      <c r="N58" s="14">
        <f t="shared" si="0"/>
        <v>88.788833333333329</v>
      </c>
      <c r="O58" s="14">
        <f t="shared" si="1"/>
        <v>1.4798138888888888</v>
      </c>
    </row>
    <row r="59" spans="1:15" ht="15" customHeight="1" x14ac:dyDescent="0.25">
      <c r="A59" s="125">
        <v>42857</v>
      </c>
      <c r="B59" s="108" t="s">
        <v>71</v>
      </c>
      <c r="C59" s="126">
        <v>0.46</v>
      </c>
      <c r="D59" s="127">
        <v>25</v>
      </c>
      <c r="E59" s="128"/>
      <c r="F59" s="128" t="s">
        <v>208</v>
      </c>
      <c r="G59" s="125" t="s">
        <v>264</v>
      </c>
      <c r="H59" s="15">
        <v>25</v>
      </c>
      <c r="I59" s="15">
        <v>75</v>
      </c>
      <c r="J59" s="15">
        <v>0</v>
      </c>
      <c r="K59" s="15"/>
      <c r="M59" s="14">
        <v>1756.12</v>
      </c>
      <c r="N59" s="14">
        <f t="shared" si="0"/>
        <v>29.268666666666665</v>
      </c>
      <c r="O59" s="14">
        <f t="shared" si="1"/>
        <v>0.48781111111111108</v>
      </c>
    </row>
    <row r="60" spans="1:15" ht="15" customHeight="1" x14ac:dyDescent="0.25">
      <c r="A60" s="129">
        <v>42875</v>
      </c>
      <c r="B60" s="130" t="s">
        <v>72</v>
      </c>
      <c r="C60" s="131">
        <v>0.39600000000000002</v>
      </c>
      <c r="D60" s="127">
        <v>95</v>
      </c>
      <c r="E60" s="2" t="s">
        <v>210</v>
      </c>
      <c r="F60" s="2" t="s">
        <v>19</v>
      </c>
      <c r="G60" s="129"/>
      <c r="H60" s="15">
        <v>95</v>
      </c>
      <c r="I60" s="15">
        <v>0</v>
      </c>
      <c r="J60" s="15">
        <v>5</v>
      </c>
      <c r="K60" s="15"/>
      <c r="M60" s="14">
        <v>1839.15</v>
      </c>
      <c r="N60" s="14">
        <f t="shared" si="0"/>
        <v>30.6525</v>
      </c>
      <c r="O60" s="14">
        <f t="shared" si="1"/>
        <v>0.51087499999999997</v>
      </c>
    </row>
    <row r="61" spans="1:15" ht="15" customHeight="1" x14ac:dyDescent="0.25">
      <c r="A61" s="129">
        <v>42876</v>
      </c>
      <c r="B61" s="130" t="s">
        <v>73</v>
      </c>
      <c r="C61" s="131">
        <v>0.28699999999999998</v>
      </c>
      <c r="D61" s="127">
        <v>0</v>
      </c>
      <c r="E61" s="2"/>
      <c r="F61" s="2" t="s">
        <v>13</v>
      </c>
      <c r="G61" s="129"/>
      <c r="H61" s="15">
        <v>0</v>
      </c>
      <c r="I61" s="15">
        <v>100</v>
      </c>
      <c r="J61" s="15">
        <v>0</v>
      </c>
      <c r="K61" s="15"/>
      <c r="N61" s="14"/>
      <c r="O61" s="14"/>
    </row>
    <row r="62" spans="1:15" ht="15" customHeight="1" x14ac:dyDescent="0.25">
      <c r="A62" s="125">
        <v>42883</v>
      </c>
      <c r="B62" s="108" t="s">
        <v>74</v>
      </c>
      <c r="C62" s="126">
        <v>0.127</v>
      </c>
      <c r="D62" s="127">
        <v>0</v>
      </c>
      <c r="E62" s="128"/>
      <c r="F62" s="128" t="s">
        <v>13</v>
      </c>
      <c r="G62" s="125"/>
      <c r="H62" s="15">
        <v>0</v>
      </c>
      <c r="I62" s="15">
        <v>100</v>
      </c>
      <c r="J62" s="15">
        <v>0</v>
      </c>
      <c r="K62" s="15"/>
      <c r="N62" s="14"/>
      <c r="O62" s="14"/>
    </row>
    <row r="63" spans="1:15" ht="15" customHeight="1" x14ac:dyDescent="0.25">
      <c r="A63" s="125">
        <v>42884</v>
      </c>
      <c r="B63" s="108" t="s">
        <v>75</v>
      </c>
      <c r="C63" s="126">
        <v>0.214</v>
      </c>
      <c r="D63" s="127">
        <v>56</v>
      </c>
      <c r="E63" s="128" t="s">
        <v>209</v>
      </c>
      <c r="F63" s="128" t="s">
        <v>211</v>
      </c>
      <c r="G63" s="125"/>
      <c r="H63" s="15">
        <v>56</v>
      </c>
      <c r="I63" s="15">
        <v>44</v>
      </c>
      <c r="J63" s="15">
        <v>0</v>
      </c>
      <c r="K63" s="15"/>
      <c r="M63" s="14">
        <v>1484.19</v>
      </c>
      <c r="N63" s="14">
        <f t="shared" si="0"/>
        <v>24.736499999999999</v>
      </c>
      <c r="O63" s="14">
        <f t="shared" si="1"/>
        <v>0.412275</v>
      </c>
    </row>
    <row r="64" spans="1:15" ht="15" customHeight="1" x14ac:dyDescent="0.25">
      <c r="A64" s="125">
        <v>42885</v>
      </c>
      <c r="B64" s="108" t="s">
        <v>76</v>
      </c>
      <c r="C64" s="126">
        <v>0.314</v>
      </c>
      <c r="D64" s="127">
        <v>65</v>
      </c>
      <c r="E64" s="128"/>
      <c r="F64" s="128" t="s">
        <v>211</v>
      </c>
      <c r="G64" s="125"/>
      <c r="H64" s="15">
        <v>65</v>
      </c>
      <c r="I64" s="15">
        <v>10</v>
      </c>
      <c r="J64" s="15">
        <v>25</v>
      </c>
      <c r="K64" s="15"/>
      <c r="M64" s="14">
        <v>3607.37</v>
      </c>
      <c r="N64" s="14">
        <f t="shared" si="0"/>
        <v>60.122833333333332</v>
      </c>
      <c r="O64" s="14">
        <f t="shared" si="1"/>
        <v>1.0020472222222223</v>
      </c>
    </row>
    <row r="65" spans="1:15" ht="15" customHeight="1" x14ac:dyDescent="0.25">
      <c r="A65" s="125">
        <v>42886</v>
      </c>
      <c r="B65" s="108" t="s">
        <v>77</v>
      </c>
      <c r="C65" s="126">
        <v>0.42</v>
      </c>
      <c r="D65" s="127">
        <v>100</v>
      </c>
      <c r="E65" s="128"/>
      <c r="F65" s="128" t="s">
        <v>201</v>
      </c>
      <c r="G65" s="125" t="s">
        <v>265</v>
      </c>
      <c r="H65" s="15">
        <v>100</v>
      </c>
      <c r="I65" s="15">
        <v>0</v>
      </c>
      <c r="J65" s="15">
        <v>0</v>
      </c>
      <c r="K65" s="15"/>
      <c r="M65" s="14">
        <v>4879.8</v>
      </c>
      <c r="N65" s="14">
        <f t="shared" si="0"/>
        <v>81.33</v>
      </c>
      <c r="O65" s="14">
        <f t="shared" si="1"/>
        <v>1.3554999999999999</v>
      </c>
    </row>
    <row r="66" spans="1:15" ht="15" customHeight="1" x14ac:dyDescent="0.25">
      <c r="A66" s="129">
        <v>42904</v>
      </c>
      <c r="B66" s="130" t="s">
        <v>78</v>
      </c>
      <c r="C66" s="131">
        <v>0.435</v>
      </c>
      <c r="D66" s="127">
        <v>0</v>
      </c>
      <c r="E66" s="2"/>
      <c r="F66" s="2" t="s">
        <v>17</v>
      </c>
      <c r="G66" s="129" t="s">
        <v>212</v>
      </c>
      <c r="H66" s="15">
        <v>0</v>
      </c>
      <c r="I66" s="15">
        <v>100</v>
      </c>
      <c r="J66" s="15">
        <v>0</v>
      </c>
      <c r="K66" s="15"/>
      <c r="N66" s="14"/>
      <c r="O66" s="14"/>
    </row>
    <row r="67" spans="1:15" ht="15" customHeight="1" x14ac:dyDescent="0.25">
      <c r="A67" s="129">
        <v>42905</v>
      </c>
      <c r="B67" s="130" t="s">
        <v>79</v>
      </c>
      <c r="C67" s="131">
        <v>0.32600000000000001</v>
      </c>
      <c r="D67" s="127">
        <v>90</v>
      </c>
      <c r="E67" s="2" t="s">
        <v>215</v>
      </c>
      <c r="F67" s="2" t="s">
        <v>214</v>
      </c>
      <c r="G67" s="129"/>
      <c r="H67" s="15">
        <v>90</v>
      </c>
      <c r="I67" s="15">
        <v>10</v>
      </c>
      <c r="J67" s="15">
        <v>0</v>
      </c>
      <c r="K67" s="15"/>
      <c r="M67" s="14">
        <v>2293.9699999999998</v>
      </c>
      <c r="N67" s="14">
        <f t="shared" si="0"/>
        <v>38.232833333333332</v>
      </c>
      <c r="O67" s="14">
        <f t="shared" si="1"/>
        <v>0.63721388888888886</v>
      </c>
    </row>
    <row r="68" spans="1:15" ht="15" customHeight="1" x14ac:dyDescent="0.25">
      <c r="A68" s="129">
        <v>42906</v>
      </c>
      <c r="B68" s="130" t="s">
        <v>80</v>
      </c>
      <c r="C68" s="131">
        <v>0.223</v>
      </c>
      <c r="D68" s="127">
        <v>100</v>
      </c>
      <c r="E68" s="2">
        <v>0</v>
      </c>
      <c r="F68" s="2" t="s">
        <v>201</v>
      </c>
      <c r="G68" s="129"/>
      <c r="H68" s="15">
        <v>100</v>
      </c>
      <c r="I68" s="15">
        <v>0</v>
      </c>
      <c r="J68" s="15">
        <v>0</v>
      </c>
      <c r="K68" s="15"/>
      <c r="M68" s="14">
        <v>1081.69</v>
      </c>
      <c r="N68" s="14">
        <f t="shared" si="0"/>
        <v>18.028166666666667</v>
      </c>
      <c r="O68" s="14">
        <f t="shared" si="1"/>
        <v>0.30046944444444446</v>
      </c>
    </row>
    <row r="69" spans="1:15" ht="15" customHeight="1" x14ac:dyDescent="0.25">
      <c r="A69" s="125">
        <v>42913</v>
      </c>
      <c r="B69" s="108" t="s">
        <v>81</v>
      </c>
      <c r="C69" s="126">
        <v>0.182</v>
      </c>
      <c r="D69" s="127">
        <v>100</v>
      </c>
      <c r="E69" s="128">
        <v>1</v>
      </c>
      <c r="F69" s="128" t="s">
        <v>216</v>
      </c>
      <c r="G69" s="125"/>
      <c r="H69" s="15">
        <v>100</v>
      </c>
      <c r="I69" s="15">
        <v>0</v>
      </c>
      <c r="J69" s="15">
        <v>0</v>
      </c>
      <c r="K69" s="15"/>
      <c r="M69" s="14">
        <v>1379.95</v>
      </c>
      <c r="N69" s="14">
        <f t="shared" si="0"/>
        <v>22.999166666666667</v>
      </c>
      <c r="O69" s="14">
        <f t="shared" si="1"/>
        <v>0.38331944444444443</v>
      </c>
    </row>
    <row r="70" spans="1:15" ht="15" customHeight="1" x14ac:dyDescent="0.25">
      <c r="A70" s="125">
        <v>42914</v>
      </c>
      <c r="B70" s="108" t="s">
        <v>82</v>
      </c>
      <c r="C70" s="126">
        <v>0.27400000000000002</v>
      </c>
      <c r="D70" s="127">
        <v>100</v>
      </c>
      <c r="E70" s="128" t="s">
        <v>209</v>
      </c>
      <c r="F70" s="128" t="s">
        <v>216</v>
      </c>
      <c r="G70" s="125"/>
      <c r="H70" s="15">
        <v>100</v>
      </c>
      <c r="I70" s="15">
        <v>0</v>
      </c>
      <c r="J70" s="15">
        <v>0</v>
      </c>
      <c r="K70" s="15"/>
      <c r="M70" s="14">
        <v>3070.16</v>
      </c>
      <c r="N70" s="14">
        <f t="shared" si="0"/>
        <v>51.169333333333334</v>
      </c>
      <c r="O70" s="14">
        <f t="shared" si="1"/>
        <v>0.85282222222222226</v>
      </c>
    </row>
    <row r="71" spans="1:15" ht="15" customHeight="1" x14ac:dyDescent="0.25">
      <c r="A71" s="125">
        <v>42915</v>
      </c>
      <c r="B71" s="108" t="s">
        <v>83</v>
      </c>
      <c r="C71" s="126">
        <v>0.374</v>
      </c>
      <c r="D71" s="127">
        <v>100</v>
      </c>
      <c r="E71" s="128">
        <v>0</v>
      </c>
      <c r="F71" s="128" t="s">
        <v>216</v>
      </c>
      <c r="G71" s="125"/>
      <c r="H71" s="15">
        <v>100</v>
      </c>
      <c r="I71" s="15">
        <v>0</v>
      </c>
      <c r="J71" s="15">
        <v>0</v>
      </c>
      <c r="K71" s="15"/>
      <c r="M71" s="14">
        <v>4023.67</v>
      </c>
      <c r="N71" s="14">
        <f t="shared" si="0"/>
        <v>67.061166666666665</v>
      </c>
      <c r="O71" s="14">
        <f t="shared" si="1"/>
        <v>1.1176861111111112</v>
      </c>
    </row>
    <row r="72" spans="1:15" ht="15" customHeight="1" x14ac:dyDescent="0.25">
      <c r="A72" s="129">
        <v>42934</v>
      </c>
      <c r="B72" s="130" t="s">
        <v>84</v>
      </c>
      <c r="C72" s="131">
        <v>0.35599999999999998</v>
      </c>
      <c r="D72" s="127">
        <v>0</v>
      </c>
      <c r="E72" s="2"/>
      <c r="F72" s="2" t="s">
        <v>17</v>
      </c>
      <c r="G72" s="129"/>
      <c r="H72" s="15">
        <v>0</v>
      </c>
      <c r="I72" s="15">
        <v>100</v>
      </c>
      <c r="J72" s="15">
        <v>0</v>
      </c>
      <c r="K72" s="15"/>
      <c r="N72" s="14"/>
      <c r="O72" s="14"/>
    </row>
    <row r="73" spans="1:15" ht="15" customHeight="1" x14ac:dyDescent="0.25">
      <c r="A73" s="129">
        <v>42935</v>
      </c>
      <c r="B73" s="130" t="s">
        <v>85</v>
      </c>
      <c r="C73" s="131">
        <v>0.249</v>
      </c>
      <c r="D73" s="127">
        <v>100</v>
      </c>
      <c r="E73" s="2" t="s">
        <v>209</v>
      </c>
      <c r="F73" s="2" t="s">
        <v>201</v>
      </c>
      <c r="G73" s="129"/>
      <c r="H73" s="15">
        <v>100</v>
      </c>
      <c r="I73" s="15">
        <v>0</v>
      </c>
      <c r="J73" s="15">
        <v>0</v>
      </c>
      <c r="K73" s="15"/>
      <c r="M73" s="14">
        <v>3114.02</v>
      </c>
      <c r="N73" s="14">
        <f t="shared" si="0"/>
        <v>51.900333333333336</v>
      </c>
      <c r="O73" s="14">
        <f t="shared" si="1"/>
        <v>0.86500555555555558</v>
      </c>
    </row>
    <row r="74" spans="1:15" ht="15" customHeight="1" x14ac:dyDescent="0.25">
      <c r="A74" s="129">
        <v>42936</v>
      </c>
      <c r="B74" s="130" t="s">
        <v>86</v>
      </c>
      <c r="C74" s="131">
        <v>0.155</v>
      </c>
      <c r="D74" s="127">
        <v>100</v>
      </c>
      <c r="E74" s="2">
        <v>0</v>
      </c>
      <c r="F74" s="2" t="s">
        <v>201</v>
      </c>
      <c r="G74" s="129"/>
      <c r="H74" s="15">
        <v>100</v>
      </c>
      <c r="I74" s="15">
        <v>0</v>
      </c>
      <c r="J74" s="15">
        <v>0</v>
      </c>
      <c r="K74" s="15"/>
      <c r="M74" s="14">
        <v>1424.85</v>
      </c>
      <c r="N74" s="14">
        <f t="shared" si="0"/>
        <v>23.747499999999999</v>
      </c>
      <c r="O74" s="14">
        <f t="shared" si="1"/>
        <v>0.39579166666666665</v>
      </c>
    </row>
    <row r="75" spans="1:15" ht="15" customHeight="1" x14ac:dyDescent="0.25">
      <c r="A75" s="125">
        <v>42943</v>
      </c>
      <c r="B75" s="108" t="s">
        <v>87</v>
      </c>
      <c r="C75" s="126">
        <v>0.22800000000000001</v>
      </c>
      <c r="D75" s="127">
        <v>100</v>
      </c>
      <c r="E75" s="128" t="s">
        <v>209</v>
      </c>
      <c r="F75" s="128" t="s">
        <v>216</v>
      </c>
      <c r="G75" s="125"/>
      <c r="H75" s="15">
        <v>100</v>
      </c>
      <c r="I75" s="15">
        <v>0</v>
      </c>
      <c r="J75" s="15">
        <v>0</v>
      </c>
      <c r="K75" s="15"/>
      <c r="M75" s="14">
        <v>1397.89</v>
      </c>
      <c r="N75" s="14">
        <f t="shared" si="0"/>
        <v>23.298166666666667</v>
      </c>
      <c r="O75" s="14">
        <f t="shared" si="1"/>
        <v>0.38830277777777777</v>
      </c>
    </row>
    <row r="76" spans="1:15" ht="15" customHeight="1" x14ac:dyDescent="0.25">
      <c r="A76" s="125">
        <v>42944</v>
      </c>
      <c r="B76" s="108" t="s">
        <v>88</v>
      </c>
      <c r="C76" s="126">
        <v>0.32300000000000001</v>
      </c>
      <c r="D76" s="127">
        <v>100</v>
      </c>
      <c r="E76" s="128" t="s">
        <v>218</v>
      </c>
      <c r="F76" s="128" t="s">
        <v>201</v>
      </c>
      <c r="G76" s="125"/>
      <c r="H76" s="15">
        <v>100</v>
      </c>
      <c r="I76" s="15">
        <v>0</v>
      </c>
      <c r="J76" s="15">
        <v>0</v>
      </c>
      <c r="K76" s="15"/>
      <c r="M76" s="14">
        <v>2445.1799999999998</v>
      </c>
      <c r="N76" s="14">
        <f t="shared" si="0"/>
        <v>40.753</v>
      </c>
      <c r="O76" s="14">
        <f t="shared" si="1"/>
        <v>0.67921666666666669</v>
      </c>
    </row>
    <row r="77" spans="1:15" ht="15" customHeight="1" x14ac:dyDescent="0.25">
      <c r="A77" s="125">
        <v>42945</v>
      </c>
      <c r="B77" s="108" t="s">
        <v>89</v>
      </c>
      <c r="C77" s="126">
        <v>0.42299999999999999</v>
      </c>
      <c r="D77" s="127">
        <v>95</v>
      </c>
      <c r="E77" s="128">
        <v>0</v>
      </c>
      <c r="F77" s="128" t="s">
        <v>201</v>
      </c>
      <c r="G77" s="125"/>
      <c r="H77" s="15">
        <v>95</v>
      </c>
      <c r="I77" s="15">
        <v>0</v>
      </c>
      <c r="J77" s="15">
        <v>5</v>
      </c>
      <c r="K77" s="15"/>
      <c r="M77" s="14">
        <v>2752.53</v>
      </c>
      <c r="N77" s="14">
        <f t="shared" si="0"/>
        <v>45.875500000000002</v>
      </c>
      <c r="O77" s="14">
        <f t="shared" si="1"/>
        <v>0.76459166666666667</v>
      </c>
    </row>
    <row r="78" spans="1:15" ht="15" customHeight="1" x14ac:dyDescent="0.25">
      <c r="A78" s="129">
        <v>42963</v>
      </c>
      <c r="B78" s="130" t="s">
        <v>90</v>
      </c>
      <c r="C78" s="131">
        <v>0.39300000000000002</v>
      </c>
      <c r="D78" s="127">
        <v>90</v>
      </c>
      <c r="E78" s="136" t="s">
        <v>219</v>
      </c>
      <c r="F78" s="136" t="s">
        <v>216</v>
      </c>
      <c r="G78" s="129" t="s">
        <v>220</v>
      </c>
      <c r="H78" s="15">
        <v>90</v>
      </c>
      <c r="I78" s="15">
        <v>10</v>
      </c>
      <c r="J78" s="15">
        <v>0</v>
      </c>
      <c r="K78" s="15"/>
      <c r="M78" s="14">
        <v>6047.85</v>
      </c>
      <c r="N78" s="14">
        <f t="shared" si="0"/>
        <v>100.7975</v>
      </c>
      <c r="O78" s="14">
        <f t="shared" si="1"/>
        <v>1.6799583333333332</v>
      </c>
    </row>
    <row r="79" spans="1:15" ht="15" customHeight="1" x14ac:dyDescent="0.25">
      <c r="A79" s="129">
        <v>42964</v>
      </c>
      <c r="B79" s="130" t="s">
        <v>91</v>
      </c>
      <c r="C79" s="131">
        <v>0.27900000000000003</v>
      </c>
      <c r="D79" s="127">
        <v>100</v>
      </c>
      <c r="E79" s="2">
        <v>0</v>
      </c>
      <c r="F79" s="2" t="s">
        <v>201</v>
      </c>
      <c r="G79" s="129"/>
      <c r="H79" s="15">
        <v>100</v>
      </c>
      <c r="I79" s="15">
        <v>0</v>
      </c>
      <c r="J79" s="15">
        <v>0</v>
      </c>
      <c r="K79" s="15"/>
      <c r="M79" s="14">
        <v>4906.41</v>
      </c>
      <c r="N79" s="14">
        <f t="shared" si="0"/>
        <v>81.773499999999999</v>
      </c>
      <c r="O79" s="14">
        <f t="shared" si="1"/>
        <v>1.3628916666666666</v>
      </c>
    </row>
    <row r="80" spans="1:15" ht="15" customHeight="1" x14ac:dyDescent="0.25">
      <c r="A80" s="129">
        <v>42965</v>
      </c>
      <c r="B80" s="130" t="s">
        <v>92</v>
      </c>
      <c r="C80" s="131">
        <v>0.17699999999999999</v>
      </c>
      <c r="D80" s="127">
        <v>100</v>
      </c>
      <c r="E80" s="2">
        <v>2</v>
      </c>
      <c r="F80" s="2" t="s">
        <v>201</v>
      </c>
      <c r="G80" s="129"/>
      <c r="H80" s="15">
        <v>100</v>
      </c>
      <c r="I80" s="15">
        <v>0</v>
      </c>
      <c r="J80" s="15">
        <v>0</v>
      </c>
      <c r="K80" s="15"/>
      <c r="M80" s="14">
        <v>3420.31</v>
      </c>
      <c r="N80" s="14">
        <f t="shared" si="0"/>
        <v>57.005166666666668</v>
      </c>
      <c r="O80" s="14">
        <f t="shared" si="1"/>
        <v>0.95008611111111108</v>
      </c>
    </row>
    <row r="81" spans="1:15" ht="15" customHeight="1" x14ac:dyDescent="0.25">
      <c r="A81" s="125">
        <v>42973</v>
      </c>
      <c r="B81" s="108" t="s">
        <v>93</v>
      </c>
      <c r="C81" s="126">
        <v>0.26100000000000001</v>
      </c>
      <c r="D81" s="127">
        <v>100</v>
      </c>
      <c r="E81" s="128">
        <v>0</v>
      </c>
      <c r="F81" s="128" t="s">
        <v>201</v>
      </c>
      <c r="G81" s="125"/>
      <c r="H81" s="15">
        <v>100</v>
      </c>
      <c r="I81" s="15">
        <v>0</v>
      </c>
      <c r="J81" s="15">
        <v>0</v>
      </c>
      <c r="K81" s="15"/>
      <c r="M81" s="14">
        <v>1865.28</v>
      </c>
      <c r="N81" s="14">
        <f t="shared" si="0"/>
        <v>31.088000000000001</v>
      </c>
      <c r="O81" s="14">
        <f t="shared" si="1"/>
        <v>0.51813333333333333</v>
      </c>
    </row>
    <row r="82" spans="1:15" ht="15" customHeight="1" x14ac:dyDescent="0.25">
      <c r="A82" s="125">
        <v>42974</v>
      </c>
      <c r="B82" s="108" t="s">
        <v>94</v>
      </c>
      <c r="C82" s="126">
        <v>0.35299999999999998</v>
      </c>
      <c r="D82" s="127">
        <v>100</v>
      </c>
      <c r="E82" s="128" t="s">
        <v>209</v>
      </c>
      <c r="F82" s="128" t="s">
        <v>201</v>
      </c>
      <c r="G82" s="125"/>
      <c r="H82" s="15">
        <v>100</v>
      </c>
      <c r="I82" s="15">
        <v>0</v>
      </c>
      <c r="J82" s="15">
        <v>0</v>
      </c>
      <c r="K82" s="15"/>
      <c r="M82" s="14">
        <v>2648.96</v>
      </c>
      <c r="N82" s="14">
        <f t="shared" si="0"/>
        <v>44.149333333333331</v>
      </c>
      <c r="O82" s="14">
        <f t="shared" si="1"/>
        <v>0.73582222222222216</v>
      </c>
    </row>
    <row r="83" spans="1:15" ht="15" customHeight="1" x14ac:dyDescent="0.25">
      <c r="A83" s="129">
        <v>42992</v>
      </c>
      <c r="B83" s="130" t="s">
        <v>44</v>
      </c>
      <c r="C83" s="131">
        <v>0.41899999999999998</v>
      </c>
      <c r="D83" s="127">
        <v>100</v>
      </c>
      <c r="E83" s="2" t="s">
        <v>222</v>
      </c>
      <c r="F83" s="2" t="s">
        <v>201</v>
      </c>
      <c r="G83" s="129"/>
      <c r="H83" s="15">
        <v>100</v>
      </c>
      <c r="I83" s="15">
        <v>0</v>
      </c>
      <c r="J83" s="15">
        <v>0</v>
      </c>
      <c r="K83" s="15"/>
      <c r="M83" s="14">
        <v>8173.74</v>
      </c>
      <c r="N83" s="14">
        <f t="shared" si="0"/>
        <v>136.22899999999998</v>
      </c>
      <c r="O83" s="14">
        <f t="shared" si="1"/>
        <v>2.270483333333333</v>
      </c>
    </row>
    <row r="84" spans="1:15" ht="15" customHeight="1" x14ac:dyDescent="0.25">
      <c r="A84" s="129">
        <v>42993</v>
      </c>
      <c r="B84" s="130" t="s">
        <v>95</v>
      </c>
      <c r="C84" s="131">
        <v>0.30399999999999999</v>
      </c>
      <c r="D84" s="127">
        <v>90</v>
      </c>
      <c r="E84" s="2">
        <v>0</v>
      </c>
      <c r="F84" s="136" t="s">
        <v>216</v>
      </c>
      <c r="G84" s="129" t="s">
        <v>224</v>
      </c>
      <c r="H84" s="15">
        <v>90</v>
      </c>
      <c r="I84" s="15">
        <v>0</v>
      </c>
      <c r="J84" s="15">
        <v>10</v>
      </c>
      <c r="K84" s="15"/>
      <c r="M84" s="14">
        <v>6718.35</v>
      </c>
      <c r="N84" s="14">
        <f t="shared" si="0"/>
        <v>111.97250000000001</v>
      </c>
      <c r="O84" s="14">
        <f t="shared" si="1"/>
        <v>1.8662083333333335</v>
      </c>
    </row>
    <row r="85" spans="1:15" ht="15" customHeight="1" x14ac:dyDescent="0.25">
      <c r="A85" s="129">
        <v>42994</v>
      </c>
      <c r="B85" s="130" t="s">
        <v>43</v>
      </c>
      <c r="C85" s="131">
        <v>0.2</v>
      </c>
      <c r="D85" s="127">
        <v>100</v>
      </c>
      <c r="E85" s="2" t="s">
        <v>222</v>
      </c>
      <c r="F85" s="2" t="s">
        <v>201</v>
      </c>
      <c r="G85" s="129"/>
      <c r="H85" s="15">
        <v>100</v>
      </c>
      <c r="I85" s="15">
        <v>0</v>
      </c>
      <c r="J85" s="15">
        <v>0</v>
      </c>
      <c r="K85" s="15"/>
      <c r="M85" s="14">
        <v>3972.47</v>
      </c>
      <c r="N85" s="14">
        <f t="shared" si="0"/>
        <v>66.207833333333326</v>
      </c>
      <c r="O85" s="14">
        <f t="shared" si="1"/>
        <v>1.1034638888888888</v>
      </c>
    </row>
    <row r="86" spans="1:15" ht="15" customHeight="1" x14ac:dyDescent="0.25">
      <c r="A86" s="129">
        <v>42995</v>
      </c>
      <c r="B86" s="130" t="s">
        <v>96</v>
      </c>
      <c r="C86" s="131">
        <v>0.115</v>
      </c>
      <c r="D86" s="127">
        <v>100</v>
      </c>
      <c r="E86" s="2">
        <v>0</v>
      </c>
      <c r="F86" s="2" t="s">
        <v>201</v>
      </c>
      <c r="G86" s="129"/>
      <c r="H86" s="15">
        <v>100</v>
      </c>
      <c r="I86" s="15">
        <v>0</v>
      </c>
      <c r="J86" s="15">
        <v>0</v>
      </c>
      <c r="K86" s="15"/>
      <c r="M86" s="14">
        <v>2238.87</v>
      </c>
      <c r="N86" s="14">
        <f t="shared" si="0"/>
        <v>37.314499999999995</v>
      </c>
      <c r="O86" s="14">
        <f t="shared" si="1"/>
        <v>0.62190833333333329</v>
      </c>
    </row>
    <row r="87" spans="1:15" ht="15" customHeight="1" x14ac:dyDescent="0.25">
      <c r="A87" s="125">
        <v>43003</v>
      </c>
      <c r="B87" s="108" t="s">
        <v>97</v>
      </c>
      <c r="C87" s="126">
        <v>0.28199999999999997</v>
      </c>
      <c r="D87" s="127">
        <v>0</v>
      </c>
      <c r="E87" s="128">
        <v>0</v>
      </c>
      <c r="F87" s="128" t="s">
        <v>225</v>
      </c>
      <c r="G87" s="125"/>
      <c r="H87" s="15">
        <v>0</v>
      </c>
      <c r="I87" s="15">
        <v>100</v>
      </c>
      <c r="J87" s="15">
        <v>0</v>
      </c>
      <c r="K87" s="15"/>
      <c r="N87" s="14"/>
      <c r="O87" s="14"/>
    </row>
    <row r="88" spans="1:15" ht="15" customHeight="1" x14ac:dyDescent="0.25">
      <c r="A88" s="125">
        <v>43004</v>
      </c>
      <c r="B88" s="108" t="s">
        <v>98</v>
      </c>
      <c r="C88" s="126">
        <v>0.373</v>
      </c>
      <c r="D88" s="127">
        <v>0</v>
      </c>
      <c r="E88" s="128">
        <v>0</v>
      </c>
      <c r="F88" s="128" t="s">
        <v>225</v>
      </c>
      <c r="G88" s="125"/>
      <c r="H88" s="15">
        <v>0</v>
      </c>
      <c r="I88" s="15">
        <v>100</v>
      </c>
      <c r="J88" s="15">
        <v>0</v>
      </c>
      <c r="K88" s="15"/>
      <c r="N88" s="14"/>
      <c r="O88" s="14"/>
    </row>
    <row r="89" spans="1:15" ht="15" customHeight="1" x14ac:dyDescent="0.25">
      <c r="A89" s="129">
        <v>43021</v>
      </c>
      <c r="B89" s="130" t="s">
        <v>99</v>
      </c>
      <c r="C89" s="131">
        <v>0.44900000000000001</v>
      </c>
      <c r="D89" s="127">
        <v>80</v>
      </c>
      <c r="E89" s="2" t="s">
        <v>235</v>
      </c>
      <c r="F89" s="2" t="s">
        <v>201</v>
      </c>
      <c r="G89" s="129" t="s">
        <v>263</v>
      </c>
      <c r="H89" s="15">
        <v>80</v>
      </c>
      <c r="I89" s="15">
        <v>0</v>
      </c>
      <c r="J89" s="15">
        <v>20</v>
      </c>
      <c r="K89" s="15"/>
      <c r="M89" s="14">
        <v>7651.27</v>
      </c>
      <c r="N89" s="14">
        <f t="shared" si="0"/>
        <v>127.52116666666667</v>
      </c>
      <c r="O89" s="14">
        <f t="shared" si="1"/>
        <v>2.1253527777777781</v>
      </c>
    </row>
    <row r="90" spans="1:15" ht="15" customHeight="1" x14ac:dyDescent="0.25">
      <c r="A90" s="129">
        <v>43022</v>
      </c>
      <c r="B90" s="130" t="s">
        <v>26</v>
      </c>
      <c r="C90" s="131">
        <v>0.33400000000000002</v>
      </c>
      <c r="D90" s="127">
        <v>100</v>
      </c>
      <c r="E90" s="2">
        <v>0</v>
      </c>
      <c r="F90" s="2" t="s">
        <v>201</v>
      </c>
      <c r="G90" s="129"/>
      <c r="H90" s="15">
        <v>100</v>
      </c>
      <c r="I90" s="15">
        <v>0</v>
      </c>
      <c r="J90" s="15">
        <v>0</v>
      </c>
      <c r="K90" s="15"/>
      <c r="M90" s="14">
        <v>7398.02</v>
      </c>
      <c r="N90" s="14">
        <f t="shared" si="0"/>
        <v>123.30033333333334</v>
      </c>
      <c r="O90" s="14">
        <f t="shared" si="1"/>
        <v>2.0550055555555558</v>
      </c>
    </row>
    <row r="91" spans="1:15" ht="15" customHeight="1" x14ac:dyDescent="0.25">
      <c r="A91" s="129">
        <v>43023</v>
      </c>
      <c r="B91" s="130" t="s">
        <v>100</v>
      </c>
      <c r="C91" s="131">
        <v>0.23</v>
      </c>
      <c r="D91" s="127">
        <v>50</v>
      </c>
      <c r="E91" s="2">
        <v>0</v>
      </c>
      <c r="F91" s="2" t="s">
        <v>227</v>
      </c>
      <c r="G91" s="129" t="s">
        <v>228</v>
      </c>
      <c r="H91" s="15">
        <v>50</v>
      </c>
      <c r="I91" s="15">
        <v>50</v>
      </c>
      <c r="J91" s="15">
        <v>0</v>
      </c>
      <c r="K91" s="15"/>
      <c r="M91" s="14">
        <v>2600</v>
      </c>
      <c r="N91" s="14">
        <f t="shared" si="0"/>
        <v>43.333333333333336</v>
      </c>
      <c r="O91" s="14">
        <f t="shared" si="1"/>
        <v>0.72222222222222221</v>
      </c>
    </row>
    <row r="92" spans="1:15" ht="15" customHeight="1" x14ac:dyDescent="0.25">
      <c r="A92" s="129">
        <v>43024</v>
      </c>
      <c r="B92" s="130" t="s">
        <v>101</v>
      </c>
      <c r="C92" s="131">
        <v>0.14199999999999999</v>
      </c>
      <c r="D92" s="127">
        <v>65</v>
      </c>
      <c r="E92" s="2" t="s">
        <v>222</v>
      </c>
      <c r="F92" s="2" t="s">
        <v>201</v>
      </c>
      <c r="G92" s="129" t="s">
        <v>229</v>
      </c>
      <c r="H92" s="15">
        <v>65</v>
      </c>
      <c r="I92" s="15">
        <v>0</v>
      </c>
      <c r="J92" s="15">
        <v>35</v>
      </c>
      <c r="K92" s="15"/>
      <c r="M92" s="14">
        <v>2238.31</v>
      </c>
      <c r="N92" s="14">
        <f t="shared" si="0"/>
        <v>37.305166666666665</v>
      </c>
      <c r="O92" s="14">
        <f t="shared" si="1"/>
        <v>0.62175277777777771</v>
      </c>
    </row>
    <row r="93" spans="1:15" ht="15" customHeight="1" x14ac:dyDescent="0.25">
      <c r="A93" s="125">
        <v>43032</v>
      </c>
      <c r="B93" s="108" t="s">
        <v>102</v>
      </c>
      <c r="C93" s="126">
        <v>0.21299999999999999</v>
      </c>
      <c r="D93" s="127">
        <v>30</v>
      </c>
      <c r="E93" s="128" t="s">
        <v>230</v>
      </c>
      <c r="F93" s="128" t="s">
        <v>231</v>
      </c>
      <c r="G93" s="125" t="s">
        <v>232</v>
      </c>
      <c r="H93" s="15">
        <v>30</v>
      </c>
      <c r="I93" s="15">
        <v>70</v>
      </c>
      <c r="J93" s="15">
        <v>0</v>
      </c>
      <c r="K93" s="15"/>
      <c r="M93" s="14">
        <v>402.18</v>
      </c>
      <c r="N93" s="14">
        <f t="shared" si="0"/>
        <v>6.7030000000000003</v>
      </c>
      <c r="O93" s="14">
        <f t="shared" si="1"/>
        <v>0.11171666666666667</v>
      </c>
    </row>
    <row r="94" spans="1:15" ht="15" customHeight="1" x14ac:dyDescent="0.25">
      <c r="A94" s="125">
        <v>43033</v>
      </c>
      <c r="B94" s="108" t="s">
        <v>103</v>
      </c>
      <c r="C94" s="126">
        <v>0.29699999999999999</v>
      </c>
      <c r="D94" s="127">
        <v>0</v>
      </c>
      <c r="E94" s="128" t="s">
        <v>230</v>
      </c>
      <c r="F94" s="128" t="s">
        <v>13</v>
      </c>
      <c r="G94" s="125"/>
      <c r="H94" s="15">
        <v>0</v>
      </c>
      <c r="I94" s="15">
        <v>100</v>
      </c>
      <c r="J94" s="15">
        <v>0</v>
      </c>
      <c r="K94" s="15"/>
      <c r="N94" s="14"/>
      <c r="O94" s="14"/>
    </row>
    <row r="95" spans="1:15" ht="15" customHeight="1" x14ac:dyDescent="0.25">
      <c r="A95" s="125">
        <v>43034</v>
      </c>
      <c r="B95" s="108" t="s">
        <v>104</v>
      </c>
      <c r="C95" s="126">
        <v>0.39</v>
      </c>
      <c r="D95" s="127">
        <v>50</v>
      </c>
      <c r="E95" s="128" t="s">
        <v>222</v>
      </c>
      <c r="F95" s="128" t="s">
        <v>233</v>
      </c>
      <c r="G95" s="125" t="s">
        <v>234</v>
      </c>
      <c r="H95" s="15">
        <v>50</v>
      </c>
      <c r="I95" s="15">
        <v>50</v>
      </c>
      <c r="J95" s="15">
        <v>0</v>
      </c>
      <c r="K95" s="15"/>
      <c r="M95" s="14">
        <v>2508.8200000000002</v>
      </c>
      <c r="N95" s="14">
        <f t="shared" si="0"/>
        <v>41.81366666666667</v>
      </c>
      <c r="O95" s="14">
        <f t="shared" si="1"/>
        <v>0.69689444444444448</v>
      </c>
    </row>
    <row r="96" spans="1:15" ht="15" customHeight="1" x14ac:dyDescent="0.25">
      <c r="A96" s="129">
        <v>43051</v>
      </c>
      <c r="B96" s="130" t="s">
        <v>105</v>
      </c>
      <c r="C96" s="131">
        <v>0.374</v>
      </c>
      <c r="D96" s="127">
        <v>0</v>
      </c>
      <c r="E96" s="2" t="s">
        <v>230</v>
      </c>
      <c r="F96" s="2" t="s">
        <v>13</v>
      </c>
      <c r="G96" s="129"/>
      <c r="H96" s="15">
        <v>0</v>
      </c>
      <c r="I96" s="15">
        <v>100</v>
      </c>
      <c r="J96" s="15">
        <v>0</v>
      </c>
      <c r="K96" s="15"/>
      <c r="N96" s="14"/>
      <c r="O96" s="14"/>
    </row>
    <row r="97" spans="1:15" ht="15" customHeight="1" x14ac:dyDescent="0.25">
      <c r="A97" s="129">
        <v>43052</v>
      </c>
      <c r="B97" s="130" t="s">
        <v>106</v>
      </c>
      <c r="C97" s="131">
        <v>0.27</v>
      </c>
      <c r="D97" s="127">
        <v>0</v>
      </c>
      <c r="E97" s="2" t="s">
        <v>230</v>
      </c>
      <c r="F97" s="2" t="s">
        <v>13</v>
      </c>
      <c r="G97" s="129"/>
      <c r="H97" s="15">
        <v>0</v>
      </c>
      <c r="I97" s="15">
        <v>100</v>
      </c>
      <c r="J97" s="15">
        <v>0</v>
      </c>
      <c r="K97" s="15"/>
      <c r="N97" s="14"/>
      <c r="O97" s="14"/>
    </row>
    <row r="98" spans="1:15" ht="15" customHeight="1" x14ac:dyDescent="0.25">
      <c r="A98" s="129">
        <v>43053</v>
      </c>
      <c r="B98" s="130" t="s">
        <v>107</v>
      </c>
      <c r="C98" s="131">
        <v>0.18</v>
      </c>
      <c r="D98" s="127">
        <v>75</v>
      </c>
      <c r="E98" s="2" t="s">
        <v>222</v>
      </c>
      <c r="F98" s="2" t="s">
        <v>199</v>
      </c>
      <c r="G98" s="129" t="s">
        <v>237</v>
      </c>
      <c r="H98" s="15">
        <v>75</v>
      </c>
      <c r="I98" s="15">
        <v>25</v>
      </c>
      <c r="J98" s="15">
        <v>0</v>
      </c>
      <c r="K98" s="15"/>
      <c r="L98" s="12"/>
      <c r="M98" s="14">
        <v>4099.5</v>
      </c>
      <c r="N98" s="14">
        <f t="shared" si="0"/>
        <v>68.325000000000003</v>
      </c>
      <c r="O98" s="14">
        <f t="shared" si="1"/>
        <v>1.1387500000000002</v>
      </c>
    </row>
    <row r="99" spans="1:15" ht="15" customHeight="1" x14ac:dyDescent="0.25">
      <c r="A99" s="129">
        <v>43054</v>
      </c>
      <c r="B99" s="130" t="s">
        <v>108</v>
      </c>
      <c r="C99" s="131">
        <v>0.107</v>
      </c>
      <c r="D99" s="127">
        <v>0</v>
      </c>
      <c r="E99" s="2" t="s">
        <v>230</v>
      </c>
      <c r="F99" s="2" t="s">
        <v>17</v>
      </c>
      <c r="G99" s="129"/>
      <c r="H99" s="15">
        <v>0</v>
      </c>
      <c r="I99" s="15">
        <v>100</v>
      </c>
      <c r="J99" s="15">
        <v>0</v>
      </c>
      <c r="K99" s="15"/>
      <c r="N99" s="14"/>
      <c r="O99" s="14"/>
    </row>
    <row r="100" spans="1:15" ht="15" customHeight="1" x14ac:dyDescent="0.25">
      <c r="A100" s="125">
        <v>43061</v>
      </c>
      <c r="B100" s="108" t="s">
        <v>109</v>
      </c>
      <c r="C100" s="126">
        <v>0.151</v>
      </c>
      <c r="D100" s="127">
        <v>50</v>
      </c>
      <c r="E100" s="128" t="s">
        <v>230</v>
      </c>
      <c r="F100" s="128" t="s">
        <v>198</v>
      </c>
      <c r="G100" s="125" t="s">
        <v>238</v>
      </c>
      <c r="H100" s="15">
        <v>50</v>
      </c>
      <c r="I100" s="15">
        <v>50</v>
      </c>
      <c r="J100" s="15">
        <v>0</v>
      </c>
      <c r="K100" s="15"/>
      <c r="M100" s="14">
        <v>1207.8699999999999</v>
      </c>
      <c r="N100" s="14">
        <f t="shared" ref="N100:O107" si="3">M100/60</f>
        <v>20.131166666666665</v>
      </c>
      <c r="O100" s="14">
        <f t="shared" si="3"/>
        <v>0.33551944444444443</v>
      </c>
    </row>
    <row r="101" spans="1:15" ht="15" customHeight="1" x14ac:dyDescent="0.25">
      <c r="A101" s="125">
        <v>43062</v>
      </c>
      <c r="B101" s="108" t="s">
        <v>110</v>
      </c>
      <c r="C101" s="126">
        <v>0.22700000000000001</v>
      </c>
      <c r="D101" s="127">
        <v>100</v>
      </c>
      <c r="E101" s="128" t="s">
        <v>222</v>
      </c>
      <c r="F101" s="128" t="s">
        <v>216</v>
      </c>
      <c r="G101" s="125"/>
      <c r="H101" s="15">
        <v>100</v>
      </c>
      <c r="I101" s="15">
        <v>0</v>
      </c>
      <c r="J101" s="15">
        <v>0</v>
      </c>
      <c r="K101" s="15"/>
      <c r="M101" s="14">
        <v>3651.73</v>
      </c>
      <c r="N101" s="14">
        <f t="shared" si="3"/>
        <v>60.862166666666667</v>
      </c>
      <c r="O101" s="14">
        <f t="shared" si="3"/>
        <v>1.0143694444444444</v>
      </c>
    </row>
    <row r="102" spans="1:15" ht="15" customHeight="1" x14ac:dyDescent="0.25">
      <c r="A102" s="125">
        <v>43063</v>
      </c>
      <c r="B102" s="108" t="s">
        <v>111</v>
      </c>
      <c r="C102" s="126">
        <v>0.315</v>
      </c>
      <c r="D102" s="127">
        <v>0</v>
      </c>
      <c r="E102" s="128" t="s">
        <v>230</v>
      </c>
      <c r="F102" s="128" t="s">
        <v>13</v>
      </c>
      <c r="G102" s="125"/>
      <c r="H102" s="15">
        <v>0</v>
      </c>
      <c r="I102" s="15">
        <v>100</v>
      </c>
      <c r="J102" s="15">
        <v>0</v>
      </c>
      <c r="K102" s="15"/>
      <c r="N102" s="14"/>
      <c r="O102" s="14"/>
    </row>
    <row r="103" spans="1:15" ht="15" customHeight="1" x14ac:dyDescent="0.25">
      <c r="A103" s="125">
        <v>43064</v>
      </c>
      <c r="B103" s="108" t="s">
        <v>112</v>
      </c>
      <c r="C103" s="126">
        <v>0.41199999999999998</v>
      </c>
      <c r="D103" s="127">
        <v>18</v>
      </c>
      <c r="E103" s="128" t="s">
        <v>230</v>
      </c>
      <c r="F103" s="128" t="s">
        <v>239</v>
      </c>
      <c r="G103" s="125" t="s">
        <v>240</v>
      </c>
      <c r="H103" s="15">
        <v>18</v>
      </c>
      <c r="I103" s="15">
        <v>82</v>
      </c>
      <c r="J103" s="15">
        <v>0</v>
      </c>
      <c r="K103" s="15"/>
      <c r="M103" s="14">
        <v>1700.25</v>
      </c>
      <c r="N103" s="14">
        <f t="shared" si="3"/>
        <v>28.337499999999999</v>
      </c>
      <c r="O103" s="14">
        <f t="shared" ref="O103:O165" si="4">N103/60</f>
        <v>0.47229166666666667</v>
      </c>
    </row>
    <row r="104" spans="1:15" ht="15" customHeight="1" x14ac:dyDescent="0.25">
      <c r="A104" s="129">
        <v>43080</v>
      </c>
      <c r="B104" s="130" t="s">
        <v>99</v>
      </c>
      <c r="C104" s="131">
        <v>0.42699999999999999</v>
      </c>
      <c r="D104" s="127">
        <v>100</v>
      </c>
      <c r="E104" s="2" t="s">
        <v>209</v>
      </c>
      <c r="F104" s="2" t="s">
        <v>198</v>
      </c>
      <c r="G104" s="129" t="s">
        <v>242</v>
      </c>
      <c r="H104" s="15">
        <v>100</v>
      </c>
      <c r="I104" s="15">
        <v>0</v>
      </c>
      <c r="J104" s="15">
        <v>0</v>
      </c>
      <c r="K104" s="15"/>
      <c r="M104" s="14">
        <v>9559.81</v>
      </c>
      <c r="N104" s="14">
        <f t="shared" si="3"/>
        <v>159.33016666666666</v>
      </c>
      <c r="O104" s="14">
        <f t="shared" si="4"/>
        <v>2.6555027777777775</v>
      </c>
    </row>
    <row r="105" spans="1:15" ht="15" customHeight="1" x14ac:dyDescent="0.25">
      <c r="A105" s="129">
        <v>43081</v>
      </c>
      <c r="B105" s="130" t="s">
        <v>26</v>
      </c>
      <c r="C105" s="131">
        <v>0.32200000000000001</v>
      </c>
      <c r="D105" s="127">
        <v>100</v>
      </c>
      <c r="E105" s="2" t="s">
        <v>243</v>
      </c>
      <c r="F105" s="2" t="s">
        <v>198</v>
      </c>
      <c r="G105" s="129" t="s">
        <v>245</v>
      </c>
      <c r="H105" s="15">
        <v>100</v>
      </c>
      <c r="I105" s="15">
        <v>0</v>
      </c>
      <c r="J105" s="15">
        <v>0</v>
      </c>
      <c r="K105" s="15"/>
      <c r="M105" s="14">
        <v>7523.65</v>
      </c>
      <c r="N105" s="14">
        <f t="shared" si="3"/>
        <v>125.39416666666666</v>
      </c>
      <c r="O105" s="14">
        <f t="shared" si="4"/>
        <v>2.0899027777777777</v>
      </c>
    </row>
    <row r="106" spans="1:15" ht="15" customHeight="1" x14ac:dyDescent="0.25">
      <c r="A106" s="129">
        <v>43082</v>
      </c>
      <c r="B106" s="130" t="s">
        <v>100</v>
      </c>
      <c r="C106" s="131">
        <v>0.22900000000000001</v>
      </c>
      <c r="D106" s="127">
        <v>100</v>
      </c>
      <c r="E106" s="2" t="s">
        <v>246</v>
      </c>
      <c r="F106" s="2" t="s">
        <v>198</v>
      </c>
      <c r="G106" s="129" t="s">
        <v>244</v>
      </c>
      <c r="H106" s="15">
        <v>100</v>
      </c>
      <c r="I106" s="15">
        <v>0</v>
      </c>
      <c r="J106" s="15">
        <v>0</v>
      </c>
      <c r="K106" s="15"/>
      <c r="M106" s="14">
        <v>5503.35</v>
      </c>
      <c r="N106" s="14">
        <f t="shared" si="3"/>
        <v>91.722500000000011</v>
      </c>
      <c r="O106" s="14">
        <f t="shared" si="4"/>
        <v>1.5287083333333336</v>
      </c>
    </row>
    <row r="107" spans="1:15" ht="15" customHeight="1" x14ac:dyDescent="0.25">
      <c r="A107" s="129">
        <v>43083</v>
      </c>
      <c r="B107" s="130" t="s">
        <v>29</v>
      </c>
      <c r="C107" s="131">
        <v>0.14899999999999999</v>
      </c>
      <c r="D107" s="127">
        <v>70</v>
      </c>
      <c r="E107" s="2" t="s">
        <v>222</v>
      </c>
      <c r="F107" s="2" t="s">
        <v>199</v>
      </c>
      <c r="G107" s="129" t="s">
        <v>249</v>
      </c>
      <c r="H107" s="15">
        <v>70</v>
      </c>
      <c r="I107" s="15">
        <v>30</v>
      </c>
      <c r="J107" s="15">
        <v>0</v>
      </c>
      <c r="K107" s="15"/>
      <c r="M107" s="14">
        <v>2149.0300000000002</v>
      </c>
      <c r="N107" s="14">
        <f t="shared" si="3"/>
        <v>35.817166666666672</v>
      </c>
      <c r="O107" s="14">
        <f t="shared" si="4"/>
        <v>0.59695277777777789</v>
      </c>
    </row>
    <row r="108" spans="1:15" ht="15" customHeight="1" x14ac:dyDescent="0.25">
      <c r="A108" s="125">
        <v>43091</v>
      </c>
      <c r="B108" s="108" t="s">
        <v>113</v>
      </c>
      <c r="C108" s="126">
        <v>0.16700000000000001</v>
      </c>
      <c r="D108" s="127">
        <v>0</v>
      </c>
      <c r="E108" s="128" t="s">
        <v>230</v>
      </c>
      <c r="F108" s="128" t="s">
        <v>247</v>
      </c>
      <c r="G108" s="125"/>
      <c r="H108" s="15">
        <v>0</v>
      </c>
      <c r="I108" s="15">
        <v>100</v>
      </c>
      <c r="J108" s="15">
        <v>0</v>
      </c>
      <c r="K108" s="15"/>
      <c r="N108" s="14"/>
      <c r="O108" s="14"/>
    </row>
    <row r="109" spans="1:15" ht="15" customHeight="1" x14ac:dyDescent="0.25">
      <c r="A109" s="125">
        <v>43092</v>
      </c>
      <c r="B109" s="108" t="s">
        <v>114</v>
      </c>
      <c r="C109" s="126">
        <v>0.248</v>
      </c>
      <c r="D109" s="127">
        <v>0</v>
      </c>
      <c r="E109" s="128" t="s">
        <v>230</v>
      </c>
      <c r="F109" s="128" t="s">
        <v>247</v>
      </c>
      <c r="G109" s="125"/>
      <c r="H109" s="15">
        <v>0</v>
      </c>
      <c r="I109" s="15">
        <v>100</v>
      </c>
      <c r="J109" s="15">
        <v>0</v>
      </c>
      <c r="K109" s="15"/>
      <c r="N109" s="14"/>
      <c r="O109" s="14"/>
    </row>
    <row r="110" spans="1:15" ht="15" customHeight="1" x14ac:dyDescent="0.25">
      <c r="A110" s="125">
        <v>43093</v>
      </c>
      <c r="B110" s="108" t="s">
        <v>115</v>
      </c>
      <c r="C110" s="126">
        <v>0.34200000000000003</v>
      </c>
      <c r="D110" s="127">
        <v>0</v>
      </c>
      <c r="E110" s="128" t="s">
        <v>230</v>
      </c>
      <c r="G110" s="138" t="s">
        <v>248</v>
      </c>
      <c r="H110" s="15">
        <v>0</v>
      </c>
      <c r="I110" s="15">
        <v>100</v>
      </c>
      <c r="J110" s="15">
        <v>0</v>
      </c>
      <c r="K110" s="15"/>
      <c r="N110" s="14"/>
      <c r="O110" s="14"/>
    </row>
    <row r="111" spans="1:15" ht="15" customHeight="1" x14ac:dyDescent="0.25">
      <c r="A111" s="125">
        <v>43094</v>
      </c>
      <c r="B111" s="108" t="s">
        <v>116</v>
      </c>
      <c r="C111" s="126">
        <v>0.44500000000000001</v>
      </c>
      <c r="D111" s="127">
        <v>0</v>
      </c>
      <c r="E111" s="128" t="s">
        <v>230</v>
      </c>
      <c r="G111" s="138" t="s">
        <v>248</v>
      </c>
      <c r="H111" s="15">
        <v>0</v>
      </c>
      <c r="I111" s="15">
        <v>100</v>
      </c>
      <c r="J111" s="15">
        <v>0</v>
      </c>
      <c r="K111" s="15"/>
      <c r="N111" s="14"/>
      <c r="O111" s="14"/>
    </row>
    <row r="112" spans="1:15" ht="15" customHeight="1" x14ac:dyDescent="0.25">
      <c r="A112" s="205">
        <v>2018</v>
      </c>
      <c r="B112" s="205"/>
      <c r="C112" s="205"/>
      <c r="D112" s="205"/>
      <c r="E112" s="205"/>
      <c r="F112" s="205"/>
      <c r="G112" s="205"/>
      <c r="H112" s="15"/>
      <c r="I112" s="15"/>
      <c r="J112" s="15"/>
      <c r="K112" s="15"/>
      <c r="N112" s="14"/>
      <c r="O112" s="14"/>
    </row>
    <row r="113" spans="1:15" ht="15" customHeight="1" x14ac:dyDescent="0.25">
      <c r="A113" s="129">
        <v>43110</v>
      </c>
      <c r="B113" s="130" t="s">
        <v>117</v>
      </c>
      <c r="C113" s="131">
        <v>0.38700000000000001</v>
      </c>
      <c r="D113" s="127">
        <v>0</v>
      </c>
      <c r="E113" s="2" t="s">
        <v>230</v>
      </c>
      <c r="F113" s="2" t="s">
        <v>13</v>
      </c>
      <c r="G113" s="129"/>
      <c r="H113" s="15">
        <v>0</v>
      </c>
      <c r="I113" s="15">
        <v>100</v>
      </c>
      <c r="J113" s="15">
        <v>0</v>
      </c>
      <c r="K113" s="15"/>
      <c r="N113" s="14"/>
      <c r="O113" s="14"/>
    </row>
    <row r="114" spans="1:15" ht="15" customHeight="1" x14ac:dyDescent="0.25">
      <c r="A114" s="129">
        <v>43111</v>
      </c>
      <c r="B114" s="130" t="s">
        <v>118</v>
      </c>
      <c r="C114" s="131">
        <v>0.28999999999999998</v>
      </c>
      <c r="D114" s="127">
        <v>0</v>
      </c>
      <c r="E114" s="2" t="s">
        <v>230</v>
      </c>
      <c r="F114" s="2" t="s">
        <v>13</v>
      </c>
      <c r="G114" s="129"/>
      <c r="H114" s="15">
        <v>0</v>
      </c>
      <c r="I114" s="15">
        <v>100</v>
      </c>
      <c r="J114" s="15">
        <v>0</v>
      </c>
      <c r="K114" s="15"/>
      <c r="N114" s="14"/>
      <c r="O114" s="14"/>
    </row>
    <row r="115" spans="1:15" ht="15" customHeight="1" x14ac:dyDescent="0.25">
      <c r="A115" s="129">
        <v>43112</v>
      </c>
      <c r="B115" s="130" t="s">
        <v>119</v>
      </c>
      <c r="C115" s="131">
        <v>0.20399999999999999</v>
      </c>
      <c r="D115" s="127">
        <v>100</v>
      </c>
      <c r="E115" s="2" t="s">
        <v>222</v>
      </c>
      <c r="F115" s="139" t="s">
        <v>251</v>
      </c>
      <c r="G115" s="129"/>
      <c r="H115" s="15">
        <v>100</v>
      </c>
      <c r="I115" s="15">
        <v>0</v>
      </c>
      <c r="J115" s="15">
        <v>0</v>
      </c>
      <c r="K115" s="15"/>
      <c r="M115" s="14">
        <v>3523.39</v>
      </c>
      <c r="N115" s="14">
        <f t="shared" ref="N115:N119" si="5">M115/60</f>
        <v>58.723166666666664</v>
      </c>
      <c r="O115" s="14">
        <f t="shared" si="4"/>
        <v>0.97871944444444436</v>
      </c>
    </row>
    <row r="116" spans="1:15" ht="15" customHeight="1" x14ac:dyDescent="0.25">
      <c r="A116" s="129">
        <v>43113</v>
      </c>
      <c r="B116" s="130" t="s">
        <v>120</v>
      </c>
      <c r="C116" s="131">
        <v>0.13100000000000001</v>
      </c>
      <c r="D116" s="127">
        <v>0</v>
      </c>
      <c r="E116" s="2" t="s">
        <v>230</v>
      </c>
      <c r="F116" s="2" t="s">
        <v>13</v>
      </c>
      <c r="G116" s="129"/>
      <c r="H116" s="15">
        <v>0</v>
      </c>
      <c r="I116" s="15">
        <v>100</v>
      </c>
      <c r="J116" s="15">
        <v>0</v>
      </c>
      <c r="K116" s="15"/>
      <c r="N116" s="14"/>
      <c r="O116" s="14"/>
    </row>
    <row r="117" spans="1:15" ht="15" customHeight="1" x14ac:dyDescent="0.25">
      <c r="A117" s="125">
        <v>43120</v>
      </c>
      <c r="B117" s="108" t="s">
        <v>121</v>
      </c>
      <c r="C117" s="126">
        <v>0.11700000000000001</v>
      </c>
      <c r="D117" s="127">
        <v>0</v>
      </c>
      <c r="E117" s="128"/>
      <c r="F117" s="128" t="s">
        <v>13</v>
      </c>
      <c r="G117" s="125"/>
      <c r="H117" s="15">
        <v>0</v>
      </c>
      <c r="I117" s="15">
        <v>100</v>
      </c>
      <c r="J117" s="15">
        <v>0</v>
      </c>
      <c r="K117" s="15"/>
      <c r="N117" s="14"/>
      <c r="O117" s="14"/>
    </row>
    <row r="118" spans="1:15" ht="15" customHeight="1" x14ac:dyDescent="0.25">
      <c r="A118" s="125">
        <v>43121</v>
      </c>
      <c r="B118" s="108" t="s">
        <v>122</v>
      </c>
      <c r="C118" s="126">
        <v>0.192</v>
      </c>
      <c r="D118" s="127">
        <v>0</v>
      </c>
      <c r="E118" s="128"/>
      <c r="F118" s="128" t="s">
        <v>13</v>
      </c>
      <c r="G118" s="125"/>
      <c r="H118" s="15">
        <v>0</v>
      </c>
      <c r="I118" s="15">
        <v>100</v>
      </c>
      <c r="J118" s="15">
        <v>0</v>
      </c>
      <c r="K118" s="15"/>
      <c r="N118" s="14"/>
      <c r="O118" s="14"/>
    </row>
    <row r="119" spans="1:15" ht="15" customHeight="1" x14ac:dyDescent="0.25">
      <c r="A119" s="125">
        <v>43122</v>
      </c>
      <c r="B119" s="108" t="s">
        <v>123</v>
      </c>
      <c r="C119" s="126">
        <v>0.28199999999999997</v>
      </c>
      <c r="D119" s="127">
        <v>8</v>
      </c>
      <c r="E119" s="128" t="s">
        <v>230</v>
      </c>
      <c r="F119" s="128" t="s">
        <v>252</v>
      </c>
      <c r="G119" s="125" t="s">
        <v>253</v>
      </c>
      <c r="H119" s="15">
        <v>8</v>
      </c>
      <c r="I119" s="15">
        <v>92</v>
      </c>
      <c r="J119" s="15">
        <v>0</v>
      </c>
      <c r="K119" s="15"/>
      <c r="M119" s="14">
        <v>342.03</v>
      </c>
      <c r="N119" s="14">
        <f t="shared" si="5"/>
        <v>5.7004999999999999</v>
      </c>
      <c r="O119" s="14">
        <f t="shared" si="4"/>
        <v>9.5008333333333334E-2</v>
      </c>
    </row>
    <row r="120" spans="1:15" ht="15" customHeight="1" x14ac:dyDescent="0.25">
      <c r="A120" s="125">
        <v>43123</v>
      </c>
      <c r="B120" s="108" t="s">
        <v>124</v>
      </c>
      <c r="C120" s="126">
        <v>0.38500000000000001</v>
      </c>
      <c r="D120" s="127">
        <v>0</v>
      </c>
      <c r="E120" s="128"/>
      <c r="F120" s="128" t="s">
        <v>13</v>
      </c>
      <c r="G120" s="125"/>
      <c r="H120" s="15">
        <v>0</v>
      </c>
      <c r="I120" s="15">
        <v>100</v>
      </c>
      <c r="J120" s="15">
        <v>0</v>
      </c>
      <c r="K120" s="15"/>
      <c r="N120" s="14"/>
      <c r="O120" s="14"/>
    </row>
    <row r="121" spans="1:15" ht="15" customHeight="1" x14ac:dyDescent="0.25">
      <c r="A121" s="129">
        <v>43140</v>
      </c>
      <c r="B121" s="130" t="s">
        <v>125</v>
      </c>
      <c r="C121" s="131">
        <v>0.36299999999999999</v>
      </c>
      <c r="D121" s="127">
        <v>0</v>
      </c>
      <c r="E121" s="2"/>
      <c r="F121" s="2" t="s">
        <v>13</v>
      </c>
      <c r="G121" s="129"/>
      <c r="H121" s="15">
        <v>0</v>
      </c>
      <c r="I121" s="15">
        <v>100</v>
      </c>
      <c r="J121" s="15">
        <v>0</v>
      </c>
      <c r="K121" s="15"/>
      <c r="N121" s="14"/>
      <c r="O121" s="14"/>
    </row>
    <row r="122" spans="1:15" ht="15" customHeight="1" x14ac:dyDescent="0.25">
      <c r="A122" s="129">
        <v>43141</v>
      </c>
      <c r="B122" s="130" t="s">
        <v>126</v>
      </c>
      <c r="C122" s="131">
        <v>0.27200000000000002</v>
      </c>
      <c r="D122" s="127">
        <v>0</v>
      </c>
      <c r="E122" s="2"/>
      <c r="F122" s="2" t="s">
        <v>13</v>
      </c>
      <c r="G122" s="129"/>
      <c r="H122" s="15">
        <v>0</v>
      </c>
      <c r="I122" s="15">
        <v>100</v>
      </c>
      <c r="J122" s="15">
        <v>0</v>
      </c>
      <c r="K122" s="15"/>
      <c r="N122" s="14"/>
      <c r="O122" s="14"/>
    </row>
    <row r="123" spans="1:15" ht="15" customHeight="1" x14ac:dyDescent="0.25">
      <c r="A123" s="129">
        <v>43142</v>
      </c>
      <c r="B123" s="130" t="s">
        <v>127</v>
      </c>
      <c r="C123" s="131">
        <v>0.189</v>
      </c>
      <c r="D123" s="127">
        <v>0</v>
      </c>
      <c r="E123" s="2"/>
      <c r="F123" s="2" t="s">
        <v>13</v>
      </c>
      <c r="G123" s="129"/>
      <c r="H123" s="15">
        <v>0</v>
      </c>
      <c r="I123" s="15">
        <v>100</v>
      </c>
      <c r="J123" s="15">
        <v>0</v>
      </c>
      <c r="K123" s="15"/>
      <c r="N123" s="14"/>
      <c r="O123" s="14"/>
    </row>
    <row r="124" spans="1:15" ht="15" customHeight="1" x14ac:dyDescent="0.25">
      <c r="A124" s="125">
        <v>43150</v>
      </c>
      <c r="B124" s="108" t="s">
        <v>128</v>
      </c>
      <c r="C124" s="126">
        <v>0.14799999999999999</v>
      </c>
      <c r="D124" s="127">
        <v>0</v>
      </c>
      <c r="E124" s="128"/>
      <c r="F124" s="128" t="s">
        <v>13</v>
      </c>
      <c r="G124" s="125"/>
      <c r="H124" s="15">
        <v>0</v>
      </c>
      <c r="I124" s="15">
        <v>100</v>
      </c>
      <c r="J124" s="15">
        <v>0</v>
      </c>
      <c r="K124" s="15"/>
      <c r="N124" s="14"/>
      <c r="O124" s="14"/>
    </row>
    <row r="125" spans="1:15" ht="15" customHeight="1" x14ac:dyDescent="0.25">
      <c r="A125" s="125">
        <v>43151</v>
      </c>
      <c r="B125" s="108" t="s">
        <v>129</v>
      </c>
      <c r="C125" s="126">
        <v>0.23499999999999999</v>
      </c>
      <c r="D125" s="127">
        <v>0</v>
      </c>
      <c r="E125" s="128"/>
      <c r="F125" s="128" t="s">
        <v>13</v>
      </c>
      <c r="G125" s="125"/>
      <c r="H125" s="15">
        <v>0</v>
      </c>
      <c r="I125" s="15">
        <v>100</v>
      </c>
      <c r="J125" s="15">
        <v>0</v>
      </c>
      <c r="K125" s="15"/>
      <c r="N125" s="14"/>
      <c r="O125" s="14"/>
    </row>
    <row r="126" spans="1:15" ht="15" customHeight="1" x14ac:dyDescent="0.25">
      <c r="A126" s="125">
        <v>43152</v>
      </c>
      <c r="B126" s="108" t="s">
        <v>130</v>
      </c>
      <c r="C126" s="126">
        <v>0.33600000000000002</v>
      </c>
      <c r="D126" s="127">
        <v>0</v>
      </c>
      <c r="E126" s="128"/>
      <c r="F126" s="128" t="s">
        <v>13</v>
      </c>
      <c r="G126" s="125"/>
      <c r="H126" s="15">
        <v>0</v>
      </c>
      <c r="I126" s="15">
        <v>100</v>
      </c>
      <c r="J126" s="15">
        <v>0</v>
      </c>
      <c r="K126" s="15"/>
      <c r="N126" s="14"/>
      <c r="O126" s="14"/>
    </row>
    <row r="127" spans="1:15" ht="15" customHeight="1" x14ac:dyDescent="0.25">
      <c r="A127" s="125">
        <v>43153</v>
      </c>
      <c r="B127" s="108" t="s">
        <v>131</v>
      </c>
      <c r="C127" s="126">
        <v>0.44900000000000001</v>
      </c>
      <c r="D127" s="127">
        <v>0</v>
      </c>
      <c r="E127" s="128"/>
      <c r="F127" s="128" t="s">
        <v>252</v>
      </c>
      <c r="G127" s="125" t="s">
        <v>255</v>
      </c>
      <c r="H127" s="15">
        <v>0</v>
      </c>
      <c r="I127" s="15">
        <v>70</v>
      </c>
      <c r="J127" s="15">
        <v>30</v>
      </c>
      <c r="K127" s="15"/>
      <c r="N127" s="14"/>
      <c r="O127" s="14"/>
    </row>
    <row r="128" spans="1:15" ht="15" customHeight="1" x14ac:dyDescent="0.25">
      <c r="A128" s="129">
        <v>43169</v>
      </c>
      <c r="B128" s="130" t="s">
        <v>132</v>
      </c>
      <c r="C128" s="131">
        <v>0.443</v>
      </c>
      <c r="D128" s="127">
        <v>100</v>
      </c>
      <c r="E128" s="2" t="s">
        <v>209</v>
      </c>
      <c r="F128" s="2" t="s">
        <v>216</v>
      </c>
      <c r="G128" s="129" t="s">
        <v>497</v>
      </c>
      <c r="H128" s="15">
        <v>100</v>
      </c>
      <c r="I128" s="15">
        <v>0</v>
      </c>
      <c r="J128" s="15">
        <v>0</v>
      </c>
      <c r="K128" s="15">
        <v>774</v>
      </c>
      <c r="L128" s="18">
        <f>100*K128/1060</f>
        <v>73.018867924528308</v>
      </c>
      <c r="M128" s="14">
        <v>3848.87</v>
      </c>
      <c r="N128" s="14">
        <f t="shared" ref="N128:N134" si="6">M128/60</f>
        <v>64.147833333333338</v>
      </c>
      <c r="O128" s="14">
        <f t="shared" si="4"/>
        <v>1.0691305555555557</v>
      </c>
    </row>
    <row r="129" spans="1:18" ht="15" customHeight="1" x14ac:dyDescent="0.25">
      <c r="A129" s="129">
        <v>43170</v>
      </c>
      <c r="B129" s="130" t="s">
        <v>133</v>
      </c>
      <c r="C129" s="131">
        <v>0.34699999999999998</v>
      </c>
      <c r="D129" s="127">
        <v>100</v>
      </c>
      <c r="E129" s="2" t="s">
        <v>230</v>
      </c>
      <c r="F129" s="2" t="s">
        <v>216</v>
      </c>
      <c r="G129" s="129"/>
      <c r="H129" s="15">
        <v>100</v>
      </c>
      <c r="I129" s="15">
        <v>0</v>
      </c>
      <c r="J129" s="15">
        <v>0</v>
      </c>
      <c r="K129" s="15"/>
      <c r="M129" s="14">
        <v>2635.18</v>
      </c>
      <c r="N129" s="14">
        <f t="shared" si="6"/>
        <v>43.919666666666664</v>
      </c>
      <c r="O129" s="14">
        <f t="shared" si="4"/>
        <v>0.73199444444444439</v>
      </c>
    </row>
    <row r="130" spans="1:18" ht="15" customHeight="1" x14ac:dyDescent="0.25">
      <c r="A130" s="129">
        <v>43171</v>
      </c>
      <c r="B130" s="130" t="s">
        <v>42</v>
      </c>
      <c r="C130" s="131">
        <v>0.25800000000000001</v>
      </c>
      <c r="D130" s="127">
        <v>100</v>
      </c>
      <c r="E130" s="2" t="s">
        <v>230</v>
      </c>
      <c r="F130" s="2" t="s">
        <v>201</v>
      </c>
      <c r="G130" s="129"/>
      <c r="H130" s="15">
        <v>100</v>
      </c>
      <c r="I130" s="15">
        <v>0</v>
      </c>
      <c r="J130" s="15">
        <v>0</v>
      </c>
      <c r="K130" s="15"/>
      <c r="M130" s="14">
        <v>1325.93</v>
      </c>
      <c r="N130" s="14">
        <f t="shared" si="6"/>
        <v>22.098833333333335</v>
      </c>
      <c r="O130" s="14">
        <f t="shared" si="4"/>
        <v>0.36831388888888894</v>
      </c>
    </row>
    <row r="131" spans="1:18" ht="15" customHeight="1" x14ac:dyDescent="0.25">
      <c r="A131" s="125">
        <v>43179</v>
      </c>
      <c r="B131" s="108" t="s">
        <v>134</v>
      </c>
      <c r="C131" s="126">
        <v>0.115</v>
      </c>
      <c r="D131" s="127">
        <v>100</v>
      </c>
      <c r="E131" s="128" t="s">
        <v>230</v>
      </c>
      <c r="F131" s="128" t="s">
        <v>198</v>
      </c>
      <c r="G131" s="125"/>
      <c r="H131" s="15">
        <v>100</v>
      </c>
      <c r="I131" s="15">
        <v>0</v>
      </c>
      <c r="J131" s="15">
        <v>0</v>
      </c>
      <c r="K131" s="15"/>
      <c r="M131" s="14">
        <v>2106.1999999999998</v>
      </c>
      <c r="N131" s="14">
        <f t="shared" si="6"/>
        <v>35.103333333333332</v>
      </c>
      <c r="O131" s="14">
        <f t="shared" si="4"/>
        <v>0.58505555555555555</v>
      </c>
    </row>
    <row r="132" spans="1:18" ht="15" customHeight="1" x14ac:dyDescent="0.25">
      <c r="A132" s="125">
        <v>43180</v>
      </c>
      <c r="B132" s="108" t="s">
        <v>135</v>
      </c>
      <c r="C132" s="126">
        <v>0.19800000000000001</v>
      </c>
      <c r="D132" s="127">
        <v>0</v>
      </c>
      <c r="E132" s="128" t="s">
        <v>230</v>
      </c>
      <c r="F132" s="128" t="s">
        <v>13</v>
      </c>
      <c r="G132" s="125"/>
      <c r="H132" s="15">
        <v>0</v>
      </c>
      <c r="I132" s="15">
        <v>100</v>
      </c>
      <c r="J132" s="15">
        <v>0</v>
      </c>
      <c r="K132" s="15"/>
      <c r="N132" s="14"/>
      <c r="O132" s="14"/>
      <c r="R132" s="28"/>
    </row>
    <row r="133" spans="1:18" ht="15" customHeight="1" x14ac:dyDescent="0.25">
      <c r="A133" s="125">
        <v>43181</v>
      </c>
      <c r="B133" s="108" t="s">
        <v>136</v>
      </c>
      <c r="C133" s="126">
        <v>0.29899999999999999</v>
      </c>
      <c r="D133" s="127">
        <v>0</v>
      </c>
      <c r="E133" s="128" t="s">
        <v>230</v>
      </c>
      <c r="F133" s="128" t="s">
        <v>13</v>
      </c>
      <c r="G133" s="125"/>
      <c r="H133" s="15">
        <v>0</v>
      </c>
      <c r="I133" s="15">
        <v>100</v>
      </c>
      <c r="J133" s="15">
        <v>0</v>
      </c>
      <c r="K133" s="15"/>
      <c r="N133" s="14"/>
      <c r="O133" s="14"/>
      <c r="R133" s="14"/>
    </row>
    <row r="134" spans="1:18" ht="15" customHeight="1" x14ac:dyDescent="0.25">
      <c r="A134" s="125">
        <v>43182</v>
      </c>
      <c r="B134" s="108" t="s">
        <v>137</v>
      </c>
      <c r="C134" s="126">
        <v>0.41299999999999998</v>
      </c>
      <c r="D134" s="127">
        <v>12</v>
      </c>
      <c r="E134" s="128" t="s">
        <v>222</v>
      </c>
      <c r="F134" s="133" t="s">
        <v>259</v>
      </c>
      <c r="G134" s="125"/>
      <c r="H134" s="15">
        <v>12</v>
      </c>
      <c r="I134" s="15">
        <v>88</v>
      </c>
      <c r="J134" s="15">
        <v>0</v>
      </c>
      <c r="K134" s="15"/>
      <c r="M134" s="14">
        <v>1871.53</v>
      </c>
      <c r="N134" s="14">
        <f t="shared" si="6"/>
        <v>31.192166666666665</v>
      </c>
      <c r="O134" s="14">
        <f t="shared" si="4"/>
        <v>0.51986944444444438</v>
      </c>
    </row>
    <row r="135" spans="1:18" ht="15" customHeight="1" x14ac:dyDescent="0.25">
      <c r="A135" s="129">
        <v>43199</v>
      </c>
      <c r="B135" s="130" t="s">
        <v>138</v>
      </c>
      <c r="C135" s="131">
        <v>0.42699999999999999</v>
      </c>
      <c r="D135" s="127">
        <v>0</v>
      </c>
      <c r="E135" s="2" t="s">
        <v>230</v>
      </c>
      <c r="F135" s="2" t="s">
        <v>13</v>
      </c>
      <c r="G135" s="129"/>
      <c r="H135" s="15">
        <v>0</v>
      </c>
      <c r="I135" s="15">
        <v>100</v>
      </c>
      <c r="J135" s="15">
        <v>0</v>
      </c>
      <c r="K135" s="15"/>
      <c r="N135" s="14"/>
      <c r="O135" s="14"/>
      <c r="R135" s="14"/>
    </row>
    <row r="136" spans="1:18" ht="15" customHeight="1" x14ac:dyDescent="0.25">
      <c r="A136" s="129">
        <v>43200</v>
      </c>
      <c r="B136" s="130" t="s">
        <v>139</v>
      </c>
      <c r="C136" s="131">
        <v>0.33200000000000002</v>
      </c>
      <c r="D136" s="127">
        <v>100</v>
      </c>
      <c r="E136" s="2" t="s">
        <v>222</v>
      </c>
      <c r="F136" s="2" t="s">
        <v>19</v>
      </c>
      <c r="G136" s="129"/>
      <c r="H136" s="15">
        <v>100</v>
      </c>
      <c r="I136" s="15">
        <v>0</v>
      </c>
      <c r="J136" s="15">
        <v>0</v>
      </c>
      <c r="K136" s="15"/>
      <c r="M136" s="14">
        <v>1285.33</v>
      </c>
      <c r="N136" s="14">
        <f>M136/60</f>
        <v>21.422166666666666</v>
      </c>
      <c r="O136" s="14">
        <f t="shared" si="4"/>
        <v>0.35703611111111111</v>
      </c>
      <c r="R136" s="14"/>
    </row>
    <row r="137" spans="1:18" ht="15" customHeight="1" x14ac:dyDescent="0.25">
      <c r="A137" s="125">
        <v>43209</v>
      </c>
      <c r="B137" s="108" t="s">
        <v>140</v>
      </c>
      <c r="C137" s="126">
        <v>0.16600000000000001</v>
      </c>
      <c r="D137" s="127">
        <v>100</v>
      </c>
      <c r="E137" s="128" t="s">
        <v>230</v>
      </c>
      <c r="F137" s="128" t="s">
        <v>201</v>
      </c>
      <c r="G137" s="125"/>
      <c r="H137" s="15">
        <v>100</v>
      </c>
      <c r="I137" s="15">
        <v>0</v>
      </c>
      <c r="J137" s="15">
        <v>0</v>
      </c>
      <c r="K137" s="15"/>
      <c r="M137" s="14">
        <v>3091</v>
      </c>
      <c r="N137" s="14">
        <f>M137/60</f>
        <v>51.516666666666666</v>
      </c>
      <c r="O137" s="14">
        <f t="shared" si="4"/>
        <v>0.8586111111111111</v>
      </c>
      <c r="R137" s="14"/>
    </row>
    <row r="138" spans="1:18" ht="15" customHeight="1" x14ac:dyDescent="0.25">
      <c r="A138" s="125">
        <v>43210</v>
      </c>
      <c r="B138" s="108" t="s">
        <v>141</v>
      </c>
      <c r="C138" s="126">
        <v>0.27</v>
      </c>
      <c r="D138" s="127">
        <v>0</v>
      </c>
      <c r="E138" s="128" t="s">
        <v>230</v>
      </c>
      <c r="F138" s="128" t="s">
        <v>13</v>
      </c>
      <c r="G138" s="125"/>
      <c r="H138" s="15">
        <v>0</v>
      </c>
      <c r="I138" s="15">
        <v>100</v>
      </c>
      <c r="J138" s="15">
        <v>0</v>
      </c>
      <c r="K138" s="15"/>
      <c r="N138" s="14"/>
      <c r="O138" s="14"/>
    </row>
    <row r="139" spans="1:18" ht="15" customHeight="1" x14ac:dyDescent="0.25">
      <c r="A139" s="125">
        <v>43211</v>
      </c>
      <c r="B139" s="108" t="s">
        <v>142</v>
      </c>
      <c r="C139" s="126">
        <v>0.38300000000000001</v>
      </c>
      <c r="D139" s="127">
        <v>100</v>
      </c>
      <c r="E139" s="128" t="s">
        <v>230</v>
      </c>
      <c r="F139" s="128" t="s">
        <v>201</v>
      </c>
      <c r="G139" s="125" t="s">
        <v>261</v>
      </c>
      <c r="H139" s="15">
        <v>100</v>
      </c>
      <c r="I139" s="15">
        <v>0</v>
      </c>
      <c r="J139" s="15">
        <v>0</v>
      </c>
      <c r="K139" s="15"/>
      <c r="M139" s="14">
        <v>6848</v>
      </c>
      <c r="N139" s="14">
        <f t="shared" ref="N139:N155" si="7">M139/60</f>
        <v>114.13333333333334</v>
      </c>
      <c r="O139" s="14">
        <f t="shared" si="4"/>
        <v>1.9022222222222223</v>
      </c>
      <c r="R139" s="14"/>
    </row>
    <row r="140" spans="1:18" ht="15" customHeight="1" x14ac:dyDescent="0.25">
      <c r="A140" s="129">
        <v>43229</v>
      </c>
      <c r="B140" s="130" t="s">
        <v>143</v>
      </c>
      <c r="C140" s="131">
        <v>0.40600000000000003</v>
      </c>
      <c r="D140" s="127">
        <v>100</v>
      </c>
      <c r="E140" s="2" t="s">
        <v>230</v>
      </c>
      <c r="F140" s="2" t="s">
        <v>201</v>
      </c>
      <c r="G140" s="129"/>
      <c r="H140" s="15">
        <v>100</v>
      </c>
      <c r="I140" s="15">
        <v>0</v>
      </c>
      <c r="J140" s="15">
        <v>0</v>
      </c>
      <c r="K140" s="15"/>
      <c r="M140" s="14">
        <v>2062</v>
      </c>
      <c r="N140" s="14">
        <f t="shared" si="7"/>
        <v>34.366666666666667</v>
      </c>
      <c r="O140" s="14">
        <f t="shared" si="4"/>
        <v>0.57277777777777783</v>
      </c>
      <c r="Q140" s="14"/>
      <c r="R140" s="14"/>
    </row>
    <row r="141" spans="1:18" ht="15" customHeight="1" x14ac:dyDescent="0.25">
      <c r="A141" s="129">
        <v>43230</v>
      </c>
      <c r="B141" s="130" t="s">
        <v>144</v>
      </c>
      <c r="C141" s="131">
        <v>0.309</v>
      </c>
      <c r="D141" s="127">
        <v>30</v>
      </c>
      <c r="E141" s="2" t="s">
        <v>230</v>
      </c>
      <c r="F141" s="2" t="s">
        <v>199</v>
      </c>
      <c r="G141" s="129" t="s">
        <v>225</v>
      </c>
      <c r="H141" s="15">
        <v>30</v>
      </c>
      <c r="I141" s="15">
        <v>70</v>
      </c>
      <c r="J141" s="15">
        <v>0</v>
      </c>
      <c r="K141" s="15"/>
      <c r="M141" s="14">
        <v>194</v>
      </c>
      <c r="N141" s="14">
        <f t="shared" si="7"/>
        <v>3.2333333333333334</v>
      </c>
      <c r="O141" s="14">
        <f t="shared" si="4"/>
        <v>5.3888888888888889E-2</v>
      </c>
      <c r="Q141" s="14"/>
      <c r="R141" s="14"/>
    </row>
    <row r="142" spans="1:18" ht="15" customHeight="1" x14ac:dyDescent="0.25">
      <c r="A142" s="125">
        <v>43238</v>
      </c>
      <c r="B142" s="108" t="s">
        <v>145</v>
      </c>
      <c r="C142" s="126">
        <v>0.14699999999999999</v>
      </c>
      <c r="D142" s="127">
        <v>0</v>
      </c>
      <c r="E142" s="128" t="s">
        <v>230</v>
      </c>
      <c r="F142" s="128" t="s">
        <v>13</v>
      </c>
      <c r="G142" s="125"/>
      <c r="H142" s="15">
        <v>0</v>
      </c>
      <c r="I142" s="15">
        <v>100</v>
      </c>
      <c r="J142" s="15">
        <v>0</v>
      </c>
      <c r="K142" s="15"/>
      <c r="N142" s="14"/>
      <c r="O142" s="14"/>
      <c r="Q142" s="14"/>
      <c r="R142" s="14"/>
    </row>
    <row r="143" spans="1:18" ht="15" customHeight="1" x14ac:dyDescent="0.25">
      <c r="A143" s="125">
        <v>43239</v>
      </c>
      <c r="B143" s="108" t="s">
        <v>146</v>
      </c>
      <c r="C143" s="126">
        <v>0.24399999999999999</v>
      </c>
      <c r="D143" s="127">
        <v>10</v>
      </c>
      <c r="E143" s="128" t="s">
        <v>230</v>
      </c>
      <c r="F143" s="128" t="s">
        <v>198</v>
      </c>
      <c r="G143" s="125" t="s">
        <v>225</v>
      </c>
      <c r="H143" s="15">
        <v>10</v>
      </c>
      <c r="I143" s="15">
        <v>90</v>
      </c>
      <c r="J143" s="15">
        <v>0</v>
      </c>
      <c r="K143" s="15"/>
      <c r="M143" s="14">
        <v>699</v>
      </c>
      <c r="N143" s="14">
        <f t="shared" si="7"/>
        <v>11.65</v>
      </c>
      <c r="O143" s="14">
        <f t="shared" si="4"/>
        <v>0.19416666666666668</v>
      </c>
      <c r="Q143" s="14"/>
      <c r="R143" s="14"/>
    </row>
    <row r="144" spans="1:18" ht="15" customHeight="1" x14ac:dyDescent="0.25">
      <c r="A144" s="125">
        <v>43240</v>
      </c>
      <c r="B144" s="108" t="s">
        <v>147</v>
      </c>
      <c r="C144" s="126">
        <v>0.35499999999999998</v>
      </c>
      <c r="D144" s="127">
        <v>50</v>
      </c>
      <c r="E144" s="128" t="s">
        <v>230</v>
      </c>
      <c r="F144" s="128" t="s">
        <v>198</v>
      </c>
      <c r="G144" s="125" t="s">
        <v>269</v>
      </c>
      <c r="H144" s="15">
        <v>50</v>
      </c>
      <c r="I144" s="15">
        <v>50</v>
      </c>
      <c r="J144" s="15">
        <v>0</v>
      </c>
      <c r="K144" s="15"/>
      <c r="M144" s="14">
        <v>2726</v>
      </c>
      <c r="N144" s="14">
        <f t="shared" si="7"/>
        <v>45.43333333333333</v>
      </c>
      <c r="O144" s="14">
        <f t="shared" si="4"/>
        <v>0.75722222222222213</v>
      </c>
      <c r="Q144" s="14"/>
    </row>
    <row r="145" spans="1:17" ht="15" customHeight="1" x14ac:dyDescent="0.25">
      <c r="A145" s="125">
        <v>43241</v>
      </c>
      <c r="B145" s="108" t="s">
        <v>267</v>
      </c>
      <c r="C145" s="126">
        <v>0.46</v>
      </c>
      <c r="D145" s="127">
        <v>45</v>
      </c>
      <c r="E145" s="128" t="s">
        <v>230</v>
      </c>
      <c r="F145" s="128" t="s">
        <v>198</v>
      </c>
      <c r="G145" s="140" t="s">
        <v>496</v>
      </c>
      <c r="H145" s="15">
        <v>45</v>
      </c>
      <c r="I145" s="15">
        <v>55</v>
      </c>
      <c r="J145" s="15">
        <v>0</v>
      </c>
      <c r="K145" s="15">
        <v>504</v>
      </c>
      <c r="L145" s="18">
        <f>100*K145/1060</f>
        <v>47.547169811320757</v>
      </c>
      <c r="M145" s="14">
        <v>4012</v>
      </c>
      <c r="N145" s="14">
        <f t="shared" si="7"/>
        <v>66.86666666666666</v>
      </c>
      <c r="O145" s="14">
        <f t="shared" si="4"/>
        <v>1.1144444444444443</v>
      </c>
      <c r="Q145" s="14"/>
    </row>
    <row r="146" spans="1:17" ht="15" customHeight="1" x14ac:dyDescent="0.25">
      <c r="A146" s="129">
        <v>43259</v>
      </c>
      <c r="B146" s="130" t="s">
        <v>148</v>
      </c>
      <c r="C146" s="131">
        <v>0.373</v>
      </c>
      <c r="D146" s="127">
        <v>100</v>
      </c>
      <c r="E146" s="2" t="s">
        <v>230</v>
      </c>
      <c r="F146" s="2" t="s">
        <v>216</v>
      </c>
      <c r="G146" s="129"/>
      <c r="H146" s="15">
        <v>100</v>
      </c>
      <c r="I146" s="15">
        <v>0</v>
      </c>
      <c r="J146" s="15">
        <v>0</v>
      </c>
      <c r="K146" s="15"/>
      <c r="M146" s="14">
        <v>1922</v>
      </c>
      <c r="N146" s="14">
        <f t="shared" si="7"/>
        <v>32.033333333333331</v>
      </c>
      <c r="O146" s="14">
        <f t="shared" si="4"/>
        <v>0.53388888888888886</v>
      </c>
      <c r="Q146" s="14"/>
    </row>
    <row r="147" spans="1:17" ht="15" customHeight="1" x14ac:dyDescent="0.25">
      <c r="A147" s="129">
        <v>43260</v>
      </c>
      <c r="B147" s="130" t="s">
        <v>80</v>
      </c>
      <c r="C147" s="131">
        <v>0.27300000000000002</v>
      </c>
      <c r="D147" s="127">
        <v>100</v>
      </c>
      <c r="E147" s="2" t="s">
        <v>222</v>
      </c>
      <c r="F147" s="2" t="s">
        <v>201</v>
      </c>
      <c r="G147" s="129"/>
      <c r="H147" s="15">
        <v>100</v>
      </c>
      <c r="I147" s="15">
        <v>0</v>
      </c>
      <c r="J147" s="15">
        <v>0</v>
      </c>
      <c r="K147" s="15"/>
      <c r="M147" s="14">
        <v>1257</v>
      </c>
      <c r="N147" s="14">
        <f t="shared" si="7"/>
        <v>20.95</v>
      </c>
      <c r="O147" s="14">
        <f t="shared" si="4"/>
        <v>0.34916666666666668</v>
      </c>
      <c r="Q147" s="14"/>
    </row>
    <row r="148" spans="1:17" ht="15" customHeight="1" x14ac:dyDescent="0.25">
      <c r="A148" s="125">
        <v>43268</v>
      </c>
      <c r="B148" s="108" t="s">
        <v>149</v>
      </c>
      <c r="C148" s="126">
        <v>0.218</v>
      </c>
      <c r="D148" s="127">
        <v>0</v>
      </c>
      <c r="E148" s="128" t="s">
        <v>230</v>
      </c>
      <c r="F148" s="128" t="s">
        <v>13</v>
      </c>
      <c r="G148" s="108"/>
      <c r="H148" s="15">
        <v>0</v>
      </c>
      <c r="I148" s="15">
        <v>100</v>
      </c>
      <c r="J148" s="15">
        <v>0</v>
      </c>
      <c r="K148" s="15"/>
      <c r="L148" s="124"/>
      <c r="N148" s="14"/>
      <c r="O148" s="14"/>
      <c r="Q148" s="14"/>
    </row>
    <row r="149" spans="1:17" ht="15" customHeight="1" x14ac:dyDescent="0.25">
      <c r="A149" s="125">
        <v>43269</v>
      </c>
      <c r="B149" s="108" t="s">
        <v>40</v>
      </c>
      <c r="C149" s="126">
        <v>0.32400000000000001</v>
      </c>
      <c r="D149" s="127">
        <v>65</v>
      </c>
      <c r="E149" s="128" t="s">
        <v>272</v>
      </c>
      <c r="F149" s="128" t="s">
        <v>199</v>
      </c>
      <c r="G149" s="125" t="s">
        <v>253</v>
      </c>
      <c r="H149" s="15">
        <v>65</v>
      </c>
      <c r="I149" s="15">
        <v>35</v>
      </c>
      <c r="J149" s="15">
        <v>0</v>
      </c>
      <c r="K149" s="15"/>
      <c r="M149" s="14">
        <v>3030</v>
      </c>
      <c r="N149" s="14">
        <f t="shared" si="7"/>
        <v>50.5</v>
      </c>
      <c r="O149" s="14">
        <f t="shared" si="4"/>
        <v>0.84166666666666667</v>
      </c>
      <c r="Q149" s="14"/>
    </row>
    <row r="150" spans="1:17" ht="15" customHeight="1" x14ac:dyDescent="0.25">
      <c r="A150" s="125">
        <v>43270</v>
      </c>
      <c r="B150" s="108" t="s">
        <v>150</v>
      </c>
      <c r="C150" s="126">
        <v>0.438</v>
      </c>
      <c r="D150" s="127">
        <v>55</v>
      </c>
      <c r="E150" s="128" t="s">
        <v>273</v>
      </c>
      <c r="F150" s="128" t="s">
        <v>199</v>
      </c>
      <c r="G150" s="125" t="s">
        <v>495</v>
      </c>
      <c r="H150" s="15">
        <v>55</v>
      </c>
      <c r="I150" s="15">
        <v>45</v>
      </c>
      <c r="J150" s="15">
        <v>0</v>
      </c>
      <c r="K150" s="15">
        <v>720</v>
      </c>
      <c r="L150" s="18">
        <f>100*K150/1060</f>
        <v>67.924528301886795</v>
      </c>
      <c r="M150" s="14">
        <v>3445</v>
      </c>
      <c r="N150" s="14">
        <f t="shared" si="7"/>
        <v>57.416666666666664</v>
      </c>
      <c r="O150" s="14">
        <f t="shared" si="4"/>
        <v>0.95694444444444438</v>
      </c>
      <c r="Q150" s="14"/>
    </row>
    <row r="151" spans="1:17" ht="15" customHeight="1" x14ac:dyDescent="0.25">
      <c r="A151" s="129">
        <v>43288</v>
      </c>
      <c r="B151" s="130" t="s">
        <v>151</v>
      </c>
      <c r="C151" s="131">
        <v>0.42899999999999999</v>
      </c>
      <c r="D151" s="127">
        <v>100</v>
      </c>
      <c r="E151" s="2" t="s">
        <v>230</v>
      </c>
      <c r="F151" s="2" t="s">
        <v>216</v>
      </c>
      <c r="G151" s="129" t="s">
        <v>494</v>
      </c>
      <c r="H151" s="15">
        <v>100</v>
      </c>
      <c r="I151" s="15">
        <v>0</v>
      </c>
      <c r="J151" s="15">
        <v>0</v>
      </c>
      <c r="K151" s="15">
        <v>802</v>
      </c>
      <c r="L151" s="18">
        <f>100*K151/1060</f>
        <v>75.660377358490564</v>
      </c>
      <c r="M151" s="14">
        <v>4702</v>
      </c>
      <c r="N151" s="14">
        <f t="shared" si="7"/>
        <v>78.36666666666666</v>
      </c>
      <c r="O151" s="14">
        <f t="shared" si="4"/>
        <v>1.306111111111111</v>
      </c>
      <c r="Q151" s="14"/>
    </row>
    <row r="152" spans="1:17" ht="15" customHeight="1" x14ac:dyDescent="0.25">
      <c r="A152" s="129">
        <v>43289</v>
      </c>
      <c r="B152" s="130" t="s">
        <v>41</v>
      </c>
      <c r="C152" s="131">
        <v>0.32300000000000001</v>
      </c>
      <c r="D152" s="127">
        <v>100</v>
      </c>
      <c r="E152" s="2" t="s">
        <v>230</v>
      </c>
      <c r="F152" s="2" t="s">
        <v>216</v>
      </c>
      <c r="G152" s="129"/>
      <c r="H152" s="15">
        <v>100</v>
      </c>
      <c r="I152" s="15">
        <v>0</v>
      </c>
      <c r="J152" s="15">
        <v>0</v>
      </c>
      <c r="K152" s="15"/>
      <c r="M152" s="14">
        <v>3478</v>
      </c>
      <c r="N152" s="14">
        <f t="shared" si="7"/>
        <v>57.966666666666669</v>
      </c>
      <c r="O152" s="14">
        <f t="shared" si="4"/>
        <v>0.96611111111111114</v>
      </c>
      <c r="Q152" s="14"/>
    </row>
    <row r="153" spans="1:17" ht="15" customHeight="1" x14ac:dyDescent="0.25">
      <c r="A153" s="129">
        <v>43290</v>
      </c>
      <c r="B153" s="130" t="s">
        <v>152</v>
      </c>
      <c r="C153" s="131">
        <v>0.221</v>
      </c>
      <c r="D153" s="127">
        <v>100</v>
      </c>
      <c r="E153" s="2" t="s">
        <v>222</v>
      </c>
      <c r="F153" s="2" t="s">
        <v>198</v>
      </c>
      <c r="G153" s="129"/>
      <c r="H153" s="15">
        <v>100</v>
      </c>
      <c r="I153" s="15">
        <v>0</v>
      </c>
      <c r="J153" s="15">
        <v>0</v>
      </c>
      <c r="K153" s="15"/>
      <c r="M153" s="14">
        <v>2399.5</v>
      </c>
      <c r="N153" s="18">
        <f t="shared" si="7"/>
        <v>39.991666666666667</v>
      </c>
      <c r="O153" s="14">
        <f t="shared" si="4"/>
        <v>0.66652777777777783</v>
      </c>
      <c r="Q153" s="14"/>
    </row>
    <row r="154" spans="1:17" ht="15" customHeight="1" x14ac:dyDescent="0.25">
      <c r="A154" s="125">
        <v>43297</v>
      </c>
      <c r="B154" s="108" t="s">
        <v>153</v>
      </c>
      <c r="C154" s="126">
        <v>0.188</v>
      </c>
      <c r="D154" s="127">
        <v>100</v>
      </c>
      <c r="E154" s="128" t="s">
        <v>230</v>
      </c>
      <c r="F154" s="128" t="s">
        <v>201</v>
      </c>
      <c r="G154" s="125"/>
      <c r="H154" s="15">
        <v>100</v>
      </c>
      <c r="I154" s="15">
        <v>0</v>
      </c>
      <c r="J154" s="15">
        <v>0</v>
      </c>
      <c r="K154" s="15"/>
      <c r="M154" s="14">
        <v>1440</v>
      </c>
      <c r="N154" s="18">
        <f t="shared" si="7"/>
        <v>24</v>
      </c>
      <c r="O154" s="14">
        <f t="shared" si="4"/>
        <v>0.4</v>
      </c>
      <c r="Q154" s="14"/>
    </row>
    <row r="155" spans="1:17" ht="15" customHeight="1" x14ac:dyDescent="0.25">
      <c r="A155" s="125">
        <v>43298</v>
      </c>
      <c r="B155" s="108" t="s">
        <v>154</v>
      </c>
      <c r="C155" s="126">
        <v>0.28799999999999998</v>
      </c>
      <c r="D155" s="127">
        <v>100</v>
      </c>
      <c r="E155" s="128" t="s">
        <v>230</v>
      </c>
      <c r="F155" s="128" t="s">
        <v>198</v>
      </c>
      <c r="G155" s="125"/>
      <c r="H155" s="15">
        <v>100</v>
      </c>
      <c r="I155" s="15">
        <v>0</v>
      </c>
      <c r="J155" s="15">
        <v>0</v>
      </c>
      <c r="K155" s="15"/>
      <c r="M155" s="14">
        <v>2764</v>
      </c>
      <c r="N155" s="18">
        <f t="shared" si="7"/>
        <v>46.06666666666667</v>
      </c>
      <c r="O155" s="14">
        <f t="shared" si="4"/>
        <v>0.76777777777777778</v>
      </c>
      <c r="Q155" s="14"/>
    </row>
    <row r="156" spans="1:17" ht="15" customHeight="1" x14ac:dyDescent="0.25">
      <c r="A156" s="125">
        <v>43299</v>
      </c>
      <c r="B156" s="108" t="s">
        <v>155</v>
      </c>
      <c r="C156" s="126">
        <v>0.39600000000000002</v>
      </c>
      <c r="D156" s="127">
        <v>0</v>
      </c>
      <c r="E156" s="128" t="s">
        <v>230</v>
      </c>
      <c r="F156" s="128" t="s">
        <v>13</v>
      </c>
      <c r="G156" s="125"/>
      <c r="H156" s="15">
        <v>0</v>
      </c>
      <c r="I156" s="15">
        <v>100</v>
      </c>
      <c r="J156" s="15">
        <v>0</v>
      </c>
      <c r="K156" s="15"/>
      <c r="O156" s="14"/>
      <c r="Q156" s="14"/>
    </row>
    <row r="157" spans="1:17" ht="15" customHeight="1" x14ac:dyDescent="0.25">
      <c r="A157" s="129">
        <v>43317</v>
      </c>
      <c r="B157" s="130" t="s">
        <v>157</v>
      </c>
      <c r="C157" s="131">
        <v>0.47799999999999998</v>
      </c>
      <c r="D157" s="127"/>
      <c r="E157" s="128"/>
      <c r="F157" s="133"/>
      <c r="G157" s="140" t="s">
        <v>268</v>
      </c>
      <c r="H157" s="15"/>
      <c r="I157" s="15"/>
      <c r="J157" s="15"/>
      <c r="K157" s="15"/>
      <c r="O157" s="14"/>
      <c r="Q157" s="14"/>
    </row>
    <row r="158" spans="1:17" ht="15" customHeight="1" x14ac:dyDescent="0.25">
      <c r="A158" s="129">
        <v>43318</v>
      </c>
      <c r="B158" s="130" t="s">
        <v>158</v>
      </c>
      <c r="C158" s="131">
        <v>0.36599999999999999</v>
      </c>
      <c r="D158" s="127">
        <v>100</v>
      </c>
      <c r="E158" s="2" t="s">
        <v>278</v>
      </c>
      <c r="F158" s="2" t="s">
        <v>201</v>
      </c>
      <c r="G158" s="129" t="s">
        <v>280</v>
      </c>
      <c r="H158" s="15">
        <v>100</v>
      </c>
      <c r="I158" s="15">
        <v>0</v>
      </c>
      <c r="J158" s="15">
        <v>0</v>
      </c>
      <c r="K158" s="15"/>
      <c r="M158" s="14">
        <v>5791</v>
      </c>
      <c r="N158" s="18">
        <f t="shared" ref="N158:N167" si="8">M158/60</f>
        <v>96.516666666666666</v>
      </c>
      <c r="O158" s="14">
        <f t="shared" si="4"/>
        <v>1.608611111111111</v>
      </c>
      <c r="Q158" s="14"/>
    </row>
    <row r="159" spans="1:17" ht="15" customHeight="1" x14ac:dyDescent="0.25">
      <c r="A159" s="129">
        <v>43319</v>
      </c>
      <c r="B159" s="130" t="s">
        <v>159</v>
      </c>
      <c r="C159" s="131">
        <v>0.25700000000000001</v>
      </c>
      <c r="D159" s="127">
        <v>100</v>
      </c>
      <c r="E159" s="2" t="s">
        <v>279</v>
      </c>
      <c r="F159" s="2" t="s">
        <v>201</v>
      </c>
      <c r="G159" s="129" t="s">
        <v>281</v>
      </c>
      <c r="H159" s="15">
        <v>100</v>
      </c>
      <c r="I159" s="15">
        <v>0</v>
      </c>
      <c r="J159" s="15">
        <v>0</v>
      </c>
      <c r="K159" s="15"/>
      <c r="M159" s="14">
        <v>4526</v>
      </c>
      <c r="N159" s="18">
        <f t="shared" si="8"/>
        <v>75.433333333333337</v>
      </c>
      <c r="O159" s="14">
        <f t="shared" si="4"/>
        <v>1.2572222222222222</v>
      </c>
      <c r="Q159" s="14"/>
    </row>
    <row r="160" spans="1:17" ht="15" customHeight="1" x14ac:dyDescent="0.25">
      <c r="A160" s="129">
        <v>43320</v>
      </c>
      <c r="B160" s="130" t="s">
        <v>160</v>
      </c>
      <c r="C160" s="131">
        <v>0.159</v>
      </c>
      <c r="D160" s="127">
        <v>100</v>
      </c>
      <c r="E160" s="2" t="s">
        <v>279</v>
      </c>
      <c r="F160" s="2" t="s">
        <v>201</v>
      </c>
      <c r="G160" s="129" t="s">
        <v>282</v>
      </c>
      <c r="H160" s="15">
        <v>100</v>
      </c>
      <c r="I160" s="15">
        <v>0</v>
      </c>
      <c r="J160" s="15">
        <v>0</v>
      </c>
      <c r="K160" s="15"/>
      <c r="M160" s="14">
        <v>2491</v>
      </c>
      <c r="N160" s="18">
        <f t="shared" si="8"/>
        <v>41.516666666666666</v>
      </c>
      <c r="O160" s="14">
        <f t="shared" si="4"/>
        <v>0.69194444444444447</v>
      </c>
      <c r="Q160" s="14"/>
    </row>
    <row r="161" spans="1:17" ht="15" customHeight="1" x14ac:dyDescent="0.25">
      <c r="A161" s="125">
        <v>43327</v>
      </c>
      <c r="B161" s="108" t="s">
        <v>161</v>
      </c>
      <c r="C161" s="126">
        <v>0.24399999999999999</v>
      </c>
      <c r="D161" s="127">
        <v>65</v>
      </c>
      <c r="E161" s="128" t="s">
        <v>222</v>
      </c>
      <c r="F161" s="128" t="s">
        <v>19</v>
      </c>
      <c r="G161" s="125" t="s">
        <v>283</v>
      </c>
      <c r="H161" s="15">
        <v>65</v>
      </c>
      <c r="I161" s="15">
        <v>35</v>
      </c>
      <c r="J161" s="15">
        <v>0</v>
      </c>
      <c r="K161" s="15"/>
      <c r="M161" s="14">
        <v>1298</v>
      </c>
      <c r="N161" s="18">
        <f t="shared" si="8"/>
        <v>21.633333333333333</v>
      </c>
      <c r="O161" s="14">
        <f t="shared" si="4"/>
        <v>0.36055555555555557</v>
      </c>
      <c r="Q161" s="14"/>
    </row>
    <row r="162" spans="1:17" ht="15" customHeight="1" x14ac:dyDescent="0.25">
      <c r="A162" s="125">
        <v>43328</v>
      </c>
      <c r="B162" s="108" t="s">
        <v>68</v>
      </c>
      <c r="C162" s="126">
        <v>0.34499999999999997</v>
      </c>
      <c r="D162" s="127">
        <v>0</v>
      </c>
      <c r="E162" s="128" t="s">
        <v>230</v>
      </c>
      <c r="F162" s="128" t="s">
        <v>13</v>
      </c>
      <c r="G162" s="125"/>
      <c r="H162" s="15">
        <v>0</v>
      </c>
      <c r="I162" s="15">
        <v>100</v>
      </c>
      <c r="J162" s="15">
        <v>0</v>
      </c>
      <c r="K162" s="15"/>
      <c r="O162" s="14"/>
      <c r="Q162" s="14"/>
    </row>
    <row r="163" spans="1:17" ht="15" customHeight="1" x14ac:dyDescent="0.25">
      <c r="A163" s="125">
        <v>43329</v>
      </c>
      <c r="B163" s="108" t="s">
        <v>162</v>
      </c>
      <c r="C163" s="126">
        <v>0.44900000000000001</v>
      </c>
      <c r="D163" s="127">
        <v>100</v>
      </c>
      <c r="E163" s="128" t="s">
        <v>284</v>
      </c>
      <c r="F163" s="128" t="s">
        <v>19</v>
      </c>
      <c r="G163" s="125" t="s">
        <v>285</v>
      </c>
      <c r="H163" s="15">
        <v>100</v>
      </c>
      <c r="I163" s="15">
        <v>0</v>
      </c>
      <c r="J163" s="15">
        <v>0</v>
      </c>
      <c r="K163" s="15"/>
      <c r="M163" s="14">
        <v>3593</v>
      </c>
      <c r="N163" s="18">
        <f t="shared" si="8"/>
        <v>59.883333333333333</v>
      </c>
      <c r="O163" s="14">
        <f t="shared" si="4"/>
        <v>0.99805555555555558</v>
      </c>
      <c r="Q163" s="14"/>
    </row>
    <row r="164" spans="1:17" ht="15" customHeight="1" x14ac:dyDescent="0.25">
      <c r="A164" s="129">
        <v>43347</v>
      </c>
      <c r="B164" s="130" t="s">
        <v>163</v>
      </c>
      <c r="C164" s="131">
        <v>0.40300000000000002</v>
      </c>
      <c r="D164" s="127">
        <v>100</v>
      </c>
      <c r="E164" s="2" t="s">
        <v>222</v>
      </c>
      <c r="F164" s="2" t="s">
        <v>216</v>
      </c>
      <c r="G164" s="129"/>
      <c r="H164" s="15">
        <v>100</v>
      </c>
      <c r="I164" s="15">
        <v>0</v>
      </c>
      <c r="J164" s="15">
        <v>0</v>
      </c>
      <c r="K164" s="15"/>
      <c r="M164" s="14">
        <v>7673.4</v>
      </c>
      <c r="N164" s="18">
        <f t="shared" si="8"/>
        <v>127.89</v>
      </c>
      <c r="O164" s="14">
        <f t="shared" si="4"/>
        <v>2.1315</v>
      </c>
      <c r="Q164" s="14"/>
    </row>
    <row r="165" spans="1:17" ht="15" customHeight="1" x14ac:dyDescent="0.25">
      <c r="A165" s="129">
        <v>43348</v>
      </c>
      <c r="B165" s="130" t="s">
        <v>164</v>
      </c>
      <c r="C165" s="131">
        <v>0.28899999999999998</v>
      </c>
      <c r="D165" s="127">
        <v>100</v>
      </c>
      <c r="E165" s="2" t="s">
        <v>235</v>
      </c>
      <c r="F165" s="2" t="s">
        <v>216</v>
      </c>
      <c r="G165" s="129"/>
      <c r="H165" s="15">
        <v>100</v>
      </c>
      <c r="I165" s="15">
        <v>0</v>
      </c>
      <c r="J165" s="15">
        <v>0</v>
      </c>
      <c r="K165" s="15"/>
      <c r="M165" s="14">
        <v>6437</v>
      </c>
      <c r="N165" s="18">
        <f t="shared" si="8"/>
        <v>107.28333333333333</v>
      </c>
      <c r="O165" s="14">
        <f t="shared" si="4"/>
        <v>1.7880555555555555</v>
      </c>
      <c r="Q165" s="14"/>
    </row>
    <row r="166" spans="1:17" ht="15" customHeight="1" x14ac:dyDescent="0.25">
      <c r="A166" s="129">
        <v>43349</v>
      </c>
      <c r="B166" s="130" t="s">
        <v>165</v>
      </c>
      <c r="C166" s="131">
        <v>0.185</v>
      </c>
      <c r="D166" s="127">
        <v>100</v>
      </c>
      <c r="E166" s="2" t="s">
        <v>235</v>
      </c>
      <c r="F166" s="2" t="s">
        <v>216</v>
      </c>
      <c r="G166" s="129"/>
      <c r="H166" s="15">
        <v>100</v>
      </c>
      <c r="I166" s="15">
        <v>0</v>
      </c>
      <c r="J166" s="15">
        <v>0</v>
      </c>
      <c r="K166" s="15"/>
      <c r="M166" s="14">
        <v>3887</v>
      </c>
      <c r="N166" s="18">
        <f t="shared" si="8"/>
        <v>64.783333333333331</v>
      </c>
      <c r="O166" s="14">
        <f t="shared" ref="O166:O229" si="9">N166/60</f>
        <v>1.0797222222222222</v>
      </c>
      <c r="Q166" s="14"/>
    </row>
    <row r="167" spans="1:17" ht="15" customHeight="1" x14ac:dyDescent="0.25">
      <c r="A167" s="129">
        <v>43350</v>
      </c>
      <c r="B167" s="130" t="s">
        <v>166</v>
      </c>
      <c r="C167" s="131">
        <v>9.8000000000000004E-2</v>
      </c>
      <c r="D167" s="127">
        <v>100</v>
      </c>
      <c r="E167" s="2" t="s">
        <v>230</v>
      </c>
      <c r="F167" s="2" t="s">
        <v>216</v>
      </c>
      <c r="G167" s="129"/>
      <c r="H167" s="15">
        <v>100</v>
      </c>
      <c r="I167" s="15">
        <v>0</v>
      </c>
      <c r="J167" s="15">
        <v>0</v>
      </c>
      <c r="K167" s="15"/>
      <c r="M167" s="14">
        <v>1779</v>
      </c>
      <c r="N167" s="18">
        <f t="shared" si="8"/>
        <v>29.65</v>
      </c>
      <c r="O167" s="14">
        <f t="shared" si="9"/>
        <v>0.49416666666666664</v>
      </c>
      <c r="Q167" s="14"/>
    </row>
    <row r="168" spans="1:17" ht="15" customHeight="1" x14ac:dyDescent="0.25">
      <c r="A168" s="125">
        <v>43357</v>
      </c>
      <c r="B168" s="108" t="s">
        <v>167</v>
      </c>
      <c r="C168" s="126">
        <v>0.28599999999999998</v>
      </c>
      <c r="D168" s="127">
        <v>0</v>
      </c>
      <c r="E168" s="128" t="s">
        <v>230</v>
      </c>
      <c r="F168" s="128" t="s">
        <v>13</v>
      </c>
      <c r="G168" s="125"/>
      <c r="H168" s="15">
        <v>0</v>
      </c>
      <c r="I168" s="15">
        <v>100</v>
      </c>
      <c r="J168" s="15">
        <v>0</v>
      </c>
      <c r="K168" s="15"/>
      <c r="N168" s="18"/>
      <c r="O168" s="14"/>
      <c r="Q168" s="14"/>
    </row>
    <row r="169" spans="1:17" ht="15" customHeight="1" x14ac:dyDescent="0.25">
      <c r="A169" s="125">
        <v>43358</v>
      </c>
      <c r="B169" s="108" t="s">
        <v>168</v>
      </c>
      <c r="C169" s="126">
        <v>0.38400000000000001</v>
      </c>
      <c r="D169" s="127">
        <v>100</v>
      </c>
      <c r="E169" s="128" t="s">
        <v>230</v>
      </c>
      <c r="F169" s="128" t="s">
        <v>19</v>
      </c>
      <c r="G169" s="125"/>
      <c r="H169" s="15">
        <v>100</v>
      </c>
      <c r="I169" s="15">
        <v>0</v>
      </c>
      <c r="J169" s="15">
        <v>0</v>
      </c>
      <c r="K169" s="15"/>
      <c r="M169" s="14">
        <v>2756</v>
      </c>
      <c r="N169" s="18">
        <f t="shared" ref="N169" si="10">M169/60</f>
        <v>45.93333333333333</v>
      </c>
      <c r="O169" s="14">
        <f t="shared" si="9"/>
        <v>0.76555555555555554</v>
      </c>
      <c r="Q169" s="14"/>
    </row>
    <row r="170" spans="1:17" ht="15" customHeight="1" x14ac:dyDescent="0.25">
      <c r="A170" s="129">
        <v>43376</v>
      </c>
      <c r="B170" s="130" t="s">
        <v>169</v>
      </c>
      <c r="C170" s="131">
        <v>0.435</v>
      </c>
      <c r="D170" s="127">
        <v>0</v>
      </c>
      <c r="E170" s="2" t="s">
        <v>230</v>
      </c>
      <c r="F170" s="2" t="s">
        <v>13</v>
      </c>
      <c r="G170" s="129"/>
      <c r="H170" s="15">
        <v>0</v>
      </c>
      <c r="I170" s="15">
        <v>100</v>
      </c>
      <c r="J170" s="15">
        <v>0</v>
      </c>
      <c r="K170" s="15"/>
      <c r="O170" s="14"/>
      <c r="Q170" s="14"/>
    </row>
    <row r="171" spans="1:17" ht="15" customHeight="1" x14ac:dyDescent="0.25">
      <c r="A171" s="129">
        <v>43377</v>
      </c>
      <c r="B171" s="130" t="s">
        <v>170</v>
      </c>
      <c r="C171" s="131">
        <v>0.318</v>
      </c>
      <c r="D171" s="127">
        <v>97</v>
      </c>
      <c r="E171" s="2" t="s">
        <v>230</v>
      </c>
      <c r="F171" s="2" t="s">
        <v>432</v>
      </c>
      <c r="G171" s="130"/>
      <c r="H171" s="15">
        <v>97</v>
      </c>
      <c r="I171" s="15">
        <v>3</v>
      </c>
      <c r="J171" s="15">
        <v>0</v>
      </c>
      <c r="K171" s="15"/>
      <c r="M171" s="14">
        <v>6886</v>
      </c>
      <c r="N171" s="18">
        <f t="shared" ref="N171" si="11">M171/60</f>
        <v>114.76666666666667</v>
      </c>
      <c r="O171" s="14">
        <f t="shared" si="9"/>
        <v>1.9127777777777777</v>
      </c>
      <c r="Q171" s="14"/>
    </row>
    <row r="172" spans="1:17" ht="15" customHeight="1" x14ac:dyDescent="0.25">
      <c r="A172" s="129">
        <v>43378</v>
      </c>
      <c r="B172" s="130" t="s">
        <v>171</v>
      </c>
      <c r="C172" s="131">
        <v>0.21099999999999999</v>
      </c>
      <c r="D172" s="127">
        <v>0</v>
      </c>
      <c r="E172" s="2" t="s">
        <v>230</v>
      </c>
      <c r="F172" s="2" t="s">
        <v>13</v>
      </c>
      <c r="G172" s="130"/>
      <c r="H172" s="15">
        <v>0</v>
      </c>
      <c r="I172" s="15">
        <v>100</v>
      </c>
      <c r="J172" s="15">
        <v>0</v>
      </c>
      <c r="K172" s="15"/>
      <c r="O172" s="14"/>
      <c r="Q172" s="14"/>
    </row>
    <row r="173" spans="1:17" ht="15" customHeight="1" x14ac:dyDescent="0.25">
      <c r="A173" s="129">
        <v>43379</v>
      </c>
      <c r="B173" s="130" t="s">
        <v>172</v>
      </c>
      <c r="C173" s="131">
        <v>0.12</v>
      </c>
      <c r="D173" s="127">
        <v>100</v>
      </c>
      <c r="E173" s="2" t="s">
        <v>433</v>
      </c>
      <c r="F173" s="2" t="s">
        <v>216</v>
      </c>
      <c r="G173" s="130"/>
      <c r="H173" s="15">
        <v>100</v>
      </c>
      <c r="I173" s="15">
        <v>0</v>
      </c>
      <c r="J173" s="15">
        <v>0</v>
      </c>
      <c r="K173" s="15"/>
      <c r="M173" s="14">
        <v>2697</v>
      </c>
      <c r="N173" s="18">
        <f t="shared" ref="N173" si="12">M173/60</f>
        <v>44.95</v>
      </c>
      <c r="O173" s="14">
        <f t="shared" si="9"/>
        <v>0.74916666666666676</v>
      </c>
      <c r="Q173" s="14"/>
    </row>
    <row r="174" spans="1:17" ht="15" customHeight="1" x14ac:dyDescent="0.25">
      <c r="A174" s="125">
        <v>43386</v>
      </c>
      <c r="B174" s="108" t="s">
        <v>173</v>
      </c>
      <c r="C174" s="126">
        <v>0.222</v>
      </c>
      <c r="D174" s="127">
        <v>0</v>
      </c>
      <c r="E174" s="141">
        <v>0</v>
      </c>
      <c r="F174" s="128" t="s">
        <v>13</v>
      </c>
      <c r="G174" s="125"/>
      <c r="H174" s="15">
        <v>0</v>
      </c>
      <c r="I174" s="15">
        <v>100</v>
      </c>
      <c r="J174" s="15">
        <v>0</v>
      </c>
      <c r="K174" s="15"/>
      <c r="O174" s="14"/>
      <c r="Q174" s="14"/>
    </row>
    <row r="175" spans="1:17" ht="15" customHeight="1" x14ac:dyDescent="0.25">
      <c r="A175" s="125">
        <v>43387</v>
      </c>
      <c r="B175" s="108" t="s">
        <v>174</v>
      </c>
      <c r="C175" s="126">
        <v>0.312</v>
      </c>
      <c r="D175" s="127">
        <v>0</v>
      </c>
      <c r="E175" s="141">
        <v>0</v>
      </c>
      <c r="F175" s="128" t="s">
        <v>13</v>
      </c>
      <c r="G175" s="125"/>
      <c r="H175" s="15">
        <v>0</v>
      </c>
      <c r="I175" s="15">
        <v>100</v>
      </c>
      <c r="J175" s="15">
        <v>0</v>
      </c>
      <c r="K175" s="15"/>
      <c r="O175" s="14"/>
      <c r="Q175" s="14"/>
    </row>
    <row r="176" spans="1:17" ht="15" customHeight="1" x14ac:dyDescent="0.25">
      <c r="A176" s="125">
        <v>43388</v>
      </c>
      <c r="B176" s="108" t="s">
        <v>175</v>
      </c>
      <c r="C176" s="126">
        <v>0.40799999999999997</v>
      </c>
      <c r="D176" s="127">
        <v>50</v>
      </c>
      <c r="E176" s="128" t="s">
        <v>222</v>
      </c>
      <c r="F176" s="128" t="s">
        <v>432</v>
      </c>
      <c r="G176" s="125"/>
      <c r="H176" s="15">
        <v>50</v>
      </c>
      <c r="I176" s="15">
        <v>50</v>
      </c>
      <c r="J176" s="15">
        <v>0</v>
      </c>
      <c r="K176" s="15"/>
      <c r="M176" s="14">
        <v>1545</v>
      </c>
      <c r="N176" s="18">
        <f t="shared" ref="N176" si="13">M176/60</f>
        <v>25.75</v>
      </c>
      <c r="O176" s="14">
        <f t="shared" si="9"/>
        <v>0.42916666666666664</v>
      </c>
      <c r="Q176" s="14"/>
    </row>
    <row r="177" spans="1:17" ht="15" customHeight="1" x14ac:dyDescent="0.25">
      <c r="A177" s="129">
        <v>43405</v>
      </c>
      <c r="B177" s="130" t="s">
        <v>176</v>
      </c>
      <c r="C177" s="131">
        <v>0.46600000000000003</v>
      </c>
      <c r="D177" s="127">
        <v>30</v>
      </c>
      <c r="E177" s="142">
        <v>0</v>
      </c>
      <c r="F177" s="136" t="s">
        <v>434</v>
      </c>
      <c r="G177" s="140" t="s">
        <v>493</v>
      </c>
      <c r="H177" s="15">
        <v>30</v>
      </c>
      <c r="I177" s="15">
        <v>70</v>
      </c>
      <c r="J177" s="15">
        <v>0</v>
      </c>
      <c r="K177" s="15">
        <v>618</v>
      </c>
      <c r="L177" s="18">
        <f>100*K177/1060</f>
        <v>58.301886792452834</v>
      </c>
      <c r="M177" s="14">
        <v>3683</v>
      </c>
      <c r="N177" s="18">
        <f t="shared" ref="N177" si="14">M177/60</f>
        <v>61.383333333333333</v>
      </c>
      <c r="O177" s="14">
        <f t="shared" si="9"/>
        <v>1.0230555555555556</v>
      </c>
      <c r="Q177" s="14"/>
    </row>
    <row r="178" spans="1:17" ht="15" customHeight="1" x14ac:dyDescent="0.25">
      <c r="A178" s="129">
        <v>43406</v>
      </c>
      <c r="B178" s="130" t="s">
        <v>177</v>
      </c>
      <c r="C178" s="131">
        <v>0.35</v>
      </c>
      <c r="D178" s="127">
        <v>0</v>
      </c>
      <c r="E178" s="143">
        <v>0</v>
      </c>
      <c r="F178" s="2" t="s">
        <v>13</v>
      </c>
      <c r="G178" s="129"/>
      <c r="H178" s="15">
        <v>0</v>
      </c>
      <c r="I178" s="15">
        <v>100</v>
      </c>
      <c r="J178" s="15">
        <v>0</v>
      </c>
      <c r="K178" s="15"/>
      <c r="N178" s="18"/>
      <c r="O178" s="14"/>
      <c r="Q178" s="14"/>
    </row>
    <row r="179" spans="1:17" ht="15" customHeight="1" x14ac:dyDescent="0.25">
      <c r="A179" s="129">
        <v>43407</v>
      </c>
      <c r="B179" s="130" t="s">
        <v>178</v>
      </c>
      <c r="C179" s="131">
        <v>0.24099999999999999</v>
      </c>
      <c r="D179" s="127">
        <v>10</v>
      </c>
      <c r="E179" s="143">
        <v>0</v>
      </c>
      <c r="F179" s="136" t="s">
        <v>434</v>
      </c>
      <c r="G179" s="129"/>
      <c r="H179" s="15">
        <v>0</v>
      </c>
      <c r="I179" s="15">
        <v>90</v>
      </c>
      <c r="J179" s="15">
        <v>0</v>
      </c>
      <c r="K179" s="15"/>
      <c r="M179" s="14">
        <v>579</v>
      </c>
      <c r="N179" s="18">
        <f t="shared" ref="N179" si="15">M179/60</f>
        <v>9.65</v>
      </c>
      <c r="O179" s="14">
        <f t="shared" si="9"/>
        <v>0.16083333333333333</v>
      </c>
      <c r="Q179" s="14"/>
    </row>
    <row r="180" spans="1:17" ht="15" customHeight="1" x14ac:dyDescent="0.25">
      <c r="A180" s="129">
        <v>43408</v>
      </c>
      <c r="B180" s="130" t="s">
        <v>179</v>
      </c>
      <c r="C180" s="131">
        <v>0.14699999999999999</v>
      </c>
      <c r="D180" s="127">
        <v>0</v>
      </c>
      <c r="E180" s="143">
        <v>0</v>
      </c>
      <c r="F180" s="2" t="s">
        <v>13</v>
      </c>
      <c r="G180" s="129"/>
      <c r="H180" s="15">
        <v>0</v>
      </c>
      <c r="I180" s="15">
        <v>100</v>
      </c>
      <c r="J180" s="15">
        <v>0</v>
      </c>
      <c r="K180" s="15"/>
      <c r="N180" s="18"/>
      <c r="O180" s="14"/>
      <c r="Q180" s="14"/>
    </row>
    <row r="181" spans="1:17" ht="15" customHeight="1" x14ac:dyDescent="0.25">
      <c r="A181" s="125">
        <v>43416</v>
      </c>
      <c r="B181" s="108" t="s">
        <v>180</v>
      </c>
      <c r="C181" s="126">
        <v>0.23899999999999999</v>
      </c>
      <c r="D181" s="127">
        <v>100</v>
      </c>
      <c r="E181" s="128" t="s">
        <v>284</v>
      </c>
      <c r="F181" s="128" t="s">
        <v>455</v>
      </c>
      <c r="G181" s="125"/>
      <c r="H181" s="15">
        <v>100</v>
      </c>
      <c r="I181" s="15">
        <v>0</v>
      </c>
      <c r="J181" s="15">
        <v>0</v>
      </c>
      <c r="K181" s="15"/>
      <c r="M181" s="14">
        <v>2641</v>
      </c>
      <c r="N181" s="18">
        <f t="shared" ref="N181" si="16">M181/60</f>
        <v>44.016666666666666</v>
      </c>
      <c r="O181" s="14">
        <f t="shared" si="9"/>
        <v>0.7336111111111111</v>
      </c>
      <c r="Q181" s="14"/>
    </row>
    <row r="182" spans="1:17" ht="15" customHeight="1" x14ac:dyDescent="0.25">
      <c r="A182" s="125">
        <v>43417</v>
      </c>
      <c r="B182" s="108" t="s">
        <v>181</v>
      </c>
      <c r="C182" s="126">
        <v>0.32800000000000001</v>
      </c>
      <c r="D182" s="127">
        <v>0</v>
      </c>
      <c r="E182" s="141">
        <v>0</v>
      </c>
      <c r="F182" s="128" t="s">
        <v>13</v>
      </c>
      <c r="G182" s="125"/>
      <c r="H182" s="15">
        <v>0</v>
      </c>
      <c r="I182" s="15">
        <v>100</v>
      </c>
      <c r="J182" s="15">
        <v>0</v>
      </c>
      <c r="K182" s="15"/>
      <c r="N182" s="18"/>
      <c r="O182" s="14"/>
      <c r="Q182" s="14"/>
    </row>
    <row r="183" spans="1:17" ht="15" customHeight="1" x14ac:dyDescent="0.25">
      <c r="A183" s="125">
        <v>43418</v>
      </c>
      <c r="B183" s="108" t="s">
        <v>182</v>
      </c>
      <c r="C183" s="126">
        <v>0.42299999999999999</v>
      </c>
      <c r="D183" s="127">
        <v>100</v>
      </c>
      <c r="E183" s="128" t="s">
        <v>433</v>
      </c>
      <c r="F183" s="128" t="s">
        <v>198</v>
      </c>
      <c r="G183" s="140" t="s">
        <v>492</v>
      </c>
      <c r="H183" s="15">
        <v>100</v>
      </c>
      <c r="I183" s="15">
        <v>0</v>
      </c>
      <c r="J183" s="15">
        <v>0</v>
      </c>
      <c r="K183" s="15">
        <v>630</v>
      </c>
      <c r="L183" s="18">
        <f>100*K183/1060</f>
        <v>59.433962264150942</v>
      </c>
      <c r="M183" s="14">
        <v>6154</v>
      </c>
      <c r="N183" s="18">
        <f t="shared" ref="N183" si="17">M183/60</f>
        <v>102.56666666666666</v>
      </c>
      <c r="O183" s="14">
        <f t="shared" si="9"/>
        <v>1.7094444444444443</v>
      </c>
      <c r="Q183" s="14"/>
    </row>
    <row r="184" spans="1:17" ht="15" customHeight="1" x14ac:dyDescent="0.25">
      <c r="A184" s="129">
        <v>43435</v>
      </c>
      <c r="B184" s="130" t="s">
        <v>183</v>
      </c>
      <c r="C184" s="131">
        <v>0.38600000000000001</v>
      </c>
      <c r="D184" s="127">
        <v>0</v>
      </c>
      <c r="E184" s="143">
        <v>0</v>
      </c>
      <c r="F184" s="2" t="s">
        <v>13</v>
      </c>
      <c r="G184" s="129"/>
      <c r="H184" s="15">
        <v>0</v>
      </c>
      <c r="I184" s="15">
        <v>100</v>
      </c>
      <c r="J184" s="15">
        <v>0</v>
      </c>
      <c r="K184" s="15"/>
      <c r="O184" s="14"/>
      <c r="Q184" s="14"/>
    </row>
    <row r="185" spans="1:17" ht="15" customHeight="1" x14ac:dyDescent="0.25">
      <c r="A185" s="129">
        <v>43436</v>
      </c>
      <c r="B185" s="130" t="s">
        <v>184</v>
      </c>
      <c r="C185" s="131">
        <v>0.27700000000000002</v>
      </c>
      <c r="D185" s="127">
        <v>0</v>
      </c>
      <c r="E185" s="143">
        <v>0</v>
      </c>
      <c r="F185" s="2" t="s">
        <v>13</v>
      </c>
      <c r="G185" s="129"/>
      <c r="H185" s="15">
        <v>0</v>
      </c>
      <c r="I185" s="15">
        <v>100</v>
      </c>
      <c r="J185" s="15">
        <v>0</v>
      </c>
      <c r="K185" s="15"/>
      <c r="O185" s="14"/>
      <c r="Q185" s="14"/>
    </row>
    <row r="186" spans="1:17" ht="15" customHeight="1" x14ac:dyDescent="0.25">
      <c r="A186" s="129">
        <v>43437</v>
      </c>
      <c r="B186" s="130" t="s">
        <v>185</v>
      </c>
      <c r="C186" s="131">
        <v>0.18099999999999999</v>
      </c>
      <c r="D186" s="127">
        <v>0</v>
      </c>
      <c r="E186" s="143">
        <v>0</v>
      </c>
      <c r="F186" s="2" t="s">
        <v>13</v>
      </c>
      <c r="G186" s="129"/>
      <c r="H186" s="15">
        <v>0</v>
      </c>
      <c r="I186" s="15">
        <v>100</v>
      </c>
      <c r="J186" s="15">
        <v>0</v>
      </c>
      <c r="K186" s="15"/>
      <c r="O186" s="14"/>
      <c r="Q186" s="14"/>
    </row>
    <row r="187" spans="1:17" ht="15" customHeight="1" x14ac:dyDescent="0.25">
      <c r="A187" s="129">
        <v>43438</v>
      </c>
      <c r="B187" s="130" t="s">
        <v>186</v>
      </c>
      <c r="C187" s="131">
        <v>0.10299999999999999</v>
      </c>
      <c r="D187" s="127">
        <v>60</v>
      </c>
      <c r="E187" s="143">
        <v>0</v>
      </c>
      <c r="F187" s="2" t="s">
        <v>458</v>
      </c>
      <c r="G187" s="129"/>
      <c r="H187" s="15">
        <v>60</v>
      </c>
      <c r="I187" s="15">
        <v>40</v>
      </c>
      <c r="J187" s="15">
        <v>0</v>
      </c>
      <c r="K187" s="15"/>
      <c r="M187" s="14">
        <v>1263.2</v>
      </c>
      <c r="N187" s="18">
        <f t="shared" ref="N187" si="18">M187/60</f>
        <v>21.053333333333335</v>
      </c>
      <c r="O187" s="14">
        <f t="shared" si="9"/>
        <v>0.35088888888888892</v>
      </c>
      <c r="Q187" s="14"/>
    </row>
    <row r="188" spans="1:17" ht="15" customHeight="1" x14ac:dyDescent="0.25">
      <c r="A188" s="125">
        <v>43445</v>
      </c>
      <c r="B188" s="144" t="s">
        <v>187</v>
      </c>
      <c r="C188" s="126">
        <v>0.16900000000000001</v>
      </c>
      <c r="D188" s="127">
        <v>0</v>
      </c>
      <c r="E188" s="141">
        <v>0</v>
      </c>
      <c r="F188" s="128" t="s">
        <v>247</v>
      </c>
      <c r="G188" s="125"/>
      <c r="H188" s="15">
        <v>0</v>
      </c>
      <c r="I188" s="15">
        <v>100</v>
      </c>
      <c r="J188" s="15">
        <v>0</v>
      </c>
      <c r="K188" s="15"/>
      <c r="O188" s="14"/>
      <c r="Q188" s="14"/>
    </row>
    <row r="189" spans="1:17" ht="15" customHeight="1" x14ac:dyDescent="0.25">
      <c r="A189" s="125">
        <v>43446</v>
      </c>
      <c r="B189" s="144" t="s">
        <v>188</v>
      </c>
      <c r="C189" s="126">
        <v>0.252</v>
      </c>
      <c r="D189" s="127">
        <v>70</v>
      </c>
      <c r="E189" s="128" t="s">
        <v>284</v>
      </c>
      <c r="F189" s="128" t="s">
        <v>199</v>
      </c>
      <c r="G189" s="125" t="s">
        <v>459</v>
      </c>
      <c r="H189" s="15">
        <v>70</v>
      </c>
      <c r="I189" s="15">
        <v>30</v>
      </c>
      <c r="J189" s="15">
        <v>0</v>
      </c>
      <c r="K189" s="15"/>
      <c r="M189" s="14">
        <v>3700.7</v>
      </c>
      <c r="N189" s="18">
        <f t="shared" ref="N189" si="19">M189/60</f>
        <v>61.678333333333327</v>
      </c>
      <c r="O189" s="14">
        <f t="shared" si="9"/>
        <v>1.0279722222222221</v>
      </c>
      <c r="Q189" s="14"/>
    </row>
    <row r="190" spans="1:17" ht="15" customHeight="1" x14ac:dyDescent="0.25">
      <c r="A190" s="125">
        <v>43447</v>
      </c>
      <c r="B190" s="144" t="s">
        <v>189</v>
      </c>
      <c r="C190" s="126">
        <v>0.34100000000000003</v>
      </c>
      <c r="D190" s="127">
        <v>0</v>
      </c>
      <c r="E190" s="141">
        <v>0</v>
      </c>
      <c r="F190" s="128" t="s">
        <v>13</v>
      </c>
      <c r="G190" s="125"/>
      <c r="H190" s="15">
        <v>0</v>
      </c>
      <c r="I190" s="15">
        <v>100</v>
      </c>
      <c r="J190" s="15">
        <v>0</v>
      </c>
      <c r="K190" s="15"/>
      <c r="O190" s="14"/>
      <c r="Q190" s="14"/>
    </row>
    <row r="191" spans="1:17" ht="15" customHeight="1" x14ac:dyDescent="0.25">
      <c r="A191" s="125">
        <v>43448</v>
      </c>
      <c r="B191" s="144" t="s">
        <v>190</v>
      </c>
      <c r="C191" s="126">
        <v>0.437</v>
      </c>
      <c r="D191" s="127">
        <v>0</v>
      </c>
      <c r="E191" s="141">
        <v>0</v>
      </c>
      <c r="F191" s="128" t="s">
        <v>460</v>
      </c>
      <c r="G191" s="125"/>
      <c r="H191" s="15">
        <v>0</v>
      </c>
      <c r="I191" s="15">
        <v>100</v>
      </c>
      <c r="J191" s="15">
        <v>0</v>
      </c>
      <c r="K191" s="15"/>
      <c r="O191" s="14"/>
      <c r="Q191" s="14"/>
    </row>
    <row r="192" spans="1:17" ht="15" customHeight="1" x14ac:dyDescent="0.25">
      <c r="A192" s="129">
        <v>43464</v>
      </c>
      <c r="B192" s="130" t="s">
        <v>191</v>
      </c>
      <c r="C192" s="131">
        <v>0.43099999999999999</v>
      </c>
      <c r="D192" s="127">
        <v>10</v>
      </c>
      <c r="E192" s="143">
        <v>0</v>
      </c>
      <c r="F192" s="2" t="s">
        <v>461</v>
      </c>
      <c r="G192" s="129" t="s">
        <v>491</v>
      </c>
      <c r="H192" s="15">
        <v>10</v>
      </c>
      <c r="I192" s="15">
        <v>90</v>
      </c>
      <c r="J192" s="15">
        <v>0</v>
      </c>
      <c r="K192" s="15">
        <v>613</v>
      </c>
      <c r="L192" s="18">
        <f>100*K192/1060</f>
        <v>57.830188679245282</v>
      </c>
      <c r="M192" s="14">
        <v>1070</v>
      </c>
      <c r="N192" s="18">
        <f t="shared" ref="N192" si="20">M192/60</f>
        <v>17.833333333333332</v>
      </c>
      <c r="O192" s="14">
        <f t="shared" si="9"/>
        <v>0.29722222222222222</v>
      </c>
      <c r="Q192" s="14"/>
    </row>
    <row r="193" spans="1:20" ht="15" customHeight="1" x14ac:dyDescent="0.25">
      <c r="A193" s="129">
        <v>43465</v>
      </c>
      <c r="B193" s="130" t="s">
        <v>192</v>
      </c>
      <c r="C193" s="131">
        <v>0.32200000000000001</v>
      </c>
      <c r="D193" s="127">
        <v>0</v>
      </c>
      <c r="E193" s="143">
        <v>0</v>
      </c>
      <c r="F193" s="2" t="s">
        <v>464</v>
      </c>
      <c r="G193" s="129"/>
      <c r="H193" s="15">
        <v>0</v>
      </c>
      <c r="I193" s="15">
        <v>100</v>
      </c>
      <c r="J193" s="15">
        <v>0</v>
      </c>
      <c r="K193" s="15"/>
      <c r="O193" s="14"/>
      <c r="Q193" s="14"/>
    </row>
    <row r="194" spans="1:20" ht="15" customHeight="1" x14ac:dyDescent="0.25">
      <c r="A194" s="205">
        <v>2019</v>
      </c>
      <c r="B194" s="205"/>
      <c r="C194" s="205"/>
      <c r="D194" s="205"/>
      <c r="E194" s="205"/>
      <c r="F194" s="205"/>
      <c r="G194" s="205"/>
      <c r="H194" s="15"/>
      <c r="I194" s="15"/>
      <c r="J194" s="15"/>
      <c r="K194" s="15"/>
      <c r="O194" s="14"/>
      <c r="Q194" s="14"/>
    </row>
    <row r="195" spans="1:20" ht="15" customHeight="1" x14ac:dyDescent="0.25">
      <c r="A195" s="129">
        <v>43466</v>
      </c>
      <c r="B195" s="130" t="s">
        <v>193</v>
      </c>
      <c r="C195" s="131">
        <v>0.224</v>
      </c>
      <c r="D195" s="132">
        <v>0</v>
      </c>
      <c r="E195" s="143">
        <v>0</v>
      </c>
      <c r="F195" s="2" t="s">
        <v>463</v>
      </c>
      <c r="G195" s="129"/>
      <c r="H195" s="15">
        <v>0</v>
      </c>
      <c r="I195" s="15">
        <v>100</v>
      </c>
      <c r="J195" s="15">
        <v>0</v>
      </c>
      <c r="K195" s="15"/>
      <c r="O195" s="14"/>
      <c r="Q195" s="14"/>
    </row>
    <row r="196" spans="1:20" ht="15" customHeight="1" x14ac:dyDescent="0.25">
      <c r="A196" s="129">
        <v>43467</v>
      </c>
      <c r="B196" s="130" t="s">
        <v>194</v>
      </c>
      <c r="C196" s="131">
        <v>0.14099999999999999</v>
      </c>
      <c r="D196" s="132">
        <v>0</v>
      </c>
      <c r="E196" s="143">
        <v>0</v>
      </c>
      <c r="F196" s="2" t="s">
        <v>463</v>
      </c>
      <c r="G196" s="129"/>
      <c r="H196" s="15">
        <v>0</v>
      </c>
      <c r="I196" s="15">
        <v>100</v>
      </c>
      <c r="J196" s="15">
        <v>0</v>
      </c>
      <c r="K196" s="15"/>
      <c r="O196" s="14"/>
      <c r="Q196" s="14"/>
    </row>
    <row r="197" spans="1:20" ht="15" customHeight="1" x14ac:dyDescent="0.25">
      <c r="A197" s="125">
        <v>43475</v>
      </c>
      <c r="B197" s="144" t="s">
        <v>195</v>
      </c>
      <c r="C197" s="126">
        <v>0.184</v>
      </c>
      <c r="D197" s="127">
        <v>0</v>
      </c>
      <c r="E197" s="141">
        <v>0</v>
      </c>
      <c r="F197" s="128" t="s">
        <v>13</v>
      </c>
      <c r="G197" s="125"/>
      <c r="H197" s="15">
        <v>0</v>
      </c>
      <c r="I197" s="15">
        <v>100</v>
      </c>
      <c r="J197" s="15">
        <v>0</v>
      </c>
      <c r="K197" s="15"/>
      <c r="O197" s="14"/>
      <c r="Q197" s="14"/>
    </row>
    <row r="198" spans="1:20" ht="15" customHeight="1" x14ac:dyDescent="0.25">
      <c r="A198" s="125">
        <v>43476</v>
      </c>
      <c r="B198" s="144" t="s">
        <v>196</v>
      </c>
      <c r="C198" s="126">
        <v>0.26600000000000001</v>
      </c>
      <c r="D198" s="127">
        <v>0</v>
      </c>
      <c r="E198" s="141">
        <v>0</v>
      </c>
      <c r="F198" s="128" t="s">
        <v>13</v>
      </c>
      <c r="G198" s="125"/>
      <c r="H198" s="15">
        <v>0</v>
      </c>
      <c r="I198" s="15">
        <v>100</v>
      </c>
      <c r="J198" s="15">
        <v>0</v>
      </c>
      <c r="K198" s="15"/>
      <c r="O198" s="14"/>
      <c r="Q198" s="14"/>
    </row>
    <row r="199" spans="1:20" ht="15" customHeight="1" x14ac:dyDescent="0.25">
      <c r="A199" s="125">
        <v>43477</v>
      </c>
      <c r="B199" s="144" t="s">
        <v>197</v>
      </c>
      <c r="C199" s="126">
        <v>0.35799999999999998</v>
      </c>
      <c r="D199" s="127">
        <v>0</v>
      </c>
      <c r="E199" s="141">
        <v>0</v>
      </c>
      <c r="F199" s="128" t="s">
        <v>13</v>
      </c>
      <c r="G199" s="125"/>
      <c r="H199" s="15">
        <v>0</v>
      </c>
      <c r="I199" s="15">
        <v>100</v>
      </c>
      <c r="J199" s="15">
        <v>0</v>
      </c>
      <c r="K199" s="15"/>
      <c r="O199" s="14"/>
      <c r="Q199" s="14"/>
    </row>
    <row r="200" spans="1:20" ht="15" customHeight="1" x14ac:dyDescent="0.25">
      <c r="A200" s="145">
        <v>43494</v>
      </c>
      <c r="B200" s="146" t="s">
        <v>287</v>
      </c>
      <c r="C200" s="147">
        <v>0.376</v>
      </c>
      <c r="D200" s="148">
        <v>0</v>
      </c>
      <c r="E200" s="149">
        <v>0</v>
      </c>
      <c r="F200" s="150" t="s">
        <v>13</v>
      </c>
      <c r="G200" s="151"/>
      <c r="H200" s="15">
        <v>0</v>
      </c>
      <c r="I200" s="15">
        <v>100</v>
      </c>
      <c r="J200" s="15">
        <v>0</v>
      </c>
      <c r="K200" s="15"/>
      <c r="O200" s="14"/>
      <c r="Q200" s="14"/>
    </row>
    <row r="201" spans="1:20" ht="15" customHeight="1" x14ac:dyDescent="0.25">
      <c r="A201" s="145">
        <v>43495</v>
      </c>
      <c r="B201" s="146" t="s">
        <v>288</v>
      </c>
      <c r="C201" s="147">
        <v>0.27700000000000002</v>
      </c>
      <c r="D201" s="148">
        <v>0</v>
      </c>
      <c r="E201" s="149">
        <v>0</v>
      </c>
      <c r="F201" s="150" t="s">
        <v>13</v>
      </c>
      <c r="G201" s="151"/>
      <c r="H201" s="15">
        <v>0</v>
      </c>
      <c r="I201" s="15">
        <v>100</v>
      </c>
      <c r="J201" s="15">
        <v>0</v>
      </c>
      <c r="K201" s="15"/>
      <c r="O201" s="14"/>
      <c r="Q201" s="14"/>
    </row>
    <row r="202" spans="1:20" ht="15" customHeight="1" x14ac:dyDescent="0.25">
      <c r="A202" s="145">
        <v>43496</v>
      </c>
      <c r="B202" s="146" t="s">
        <v>289</v>
      </c>
      <c r="C202" s="147">
        <v>0.19</v>
      </c>
      <c r="D202" s="148">
        <v>0</v>
      </c>
      <c r="E202" s="149">
        <v>0</v>
      </c>
      <c r="F202" s="150" t="s">
        <v>13</v>
      </c>
      <c r="G202" s="151"/>
      <c r="H202" s="15">
        <v>0</v>
      </c>
      <c r="I202" s="15">
        <v>100</v>
      </c>
      <c r="J202" s="15">
        <v>0</v>
      </c>
      <c r="K202" s="15"/>
      <c r="O202" s="14"/>
      <c r="Q202" s="14"/>
    </row>
    <row r="203" spans="1:20" ht="15" customHeight="1" x14ac:dyDescent="0.25">
      <c r="A203" s="125">
        <v>43504</v>
      </c>
      <c r="B203" s="108" t="s">
        <v>290</v>
      </c>
      <c r="C203" s="111">
        <v>0.128</v>
      </c>
      <c r="D203" s="127">
        <v>0</v>
      </c>
      <c r="E203" s="141">
        <v>0</v>
      </c>
      <c r="F203" s="128" t="s">
        <v>13</v>
      </c>
      <c r="H203" s="15">
        <v>0</v>
      </c>
      <c r="I203" s="15">
        <v>100</v>
      </c>
      <c r="J203" s="15">
        <v>0</v>
      </c>
      <c r="K203" s="15"/>
      <c r="O203" s="14"/>
      <c r="Q203" s="14"/>
    </row>
    <row r="204" spans="1:20" ht="15" customHeight="1" x14ac:dyDescent="0.25">
      <c r="A204" s="125">
        <v>43505</v>
      </c>
      <c r="B204" s="108" t="s">
        <v>291</v>
      </c>
      <c r="C204" s="111">
        <v>0.20200000000000001</v>
      </c>
      <c r="D204" s="15">
        <v>65</v>
      </c>
      <c r="E204" s="128" t="s">
        <v>235</v>
      </c>
      <c r="F204" s="135" t="s">
        <v>198</v>
      </c>
      <c r="G204" s="106" t="s">
        <v>468</v>
      </c>
      <c r="H204" s="15">
        <v>65</v>
      </c>
      <c r="I204" s="15">
        <v>35</v>
      </c>
      <c r="J204" s="15">
        <v>0</v>
      </c>
      <c r="K204" s="15"/>
      <c r="M204" s="14">
        <v>3571.6</v>
      </c>
      <c r="N204" s="18">
        <f t="shared" ref="N204" si="21">M204/60</f>
        <v>59.526666666666664</v>
      </c>
      <c r="O204" s="14">
        <f t="shared" si="9"/>
        <v>0.99211111111111105</v>
      </c>
      <c r="Q204" s="14"/>
    </row>
    <row r="205" spans="1:20" ht="15" customHeight="1" x14ac:dyDescent="0.25">
      <c r="A205" s="125">
        <v>43506</v>
      </c>
      <c r="B205" s="108" t="s">
        <v>292</v>
      </c>
      <c r="C205" s="111">
        <v>0.28999999999999998</v>
      </c>
      <c r="D205" s="15">
        <v>100</v>
      </c>
      <c r="E205" s="128" t="s">
        <v>433</v>
      </c>
      <c r="F205" s="128" t="s">
        <v>199</v>
      </c>
      <c r="G205" s="152" t="s">
        <v>469</v>
      </c>
      <c r="H205" s="15">
        <v>100</v>
      </c>
      <c r="I205" s="15">
        <v>0</v>
      </c>
      <c r="J205" s="15">
        <v>0</v>
      </c>
      <c r="K205" s="15">
        <v>995</v>
      </c>
      <c r="L205" s="18">
        <f>100*K205/1060</f>
        <v>93.867924528301884</v>
      </c>
      <c r="M205" s="14">
        <v>6297</v>
      </c>
      <c r="N205" s="18">
        <f t="shared" ref="N205" si="22">M205/60</f>
        <v>104.95</v>
      </c>
      <c r="O205" s="14">
        <f t="shared" si="9"/>
        <v>1.7491666666666668</v>
      </c>
      <c r="Q205" s="14"/>
      <c r="T205" s="27"/>
    </row>
    <row r="206" spans="1:20" ht="15" customHeight="1" x14ac:dyDescent="0.25">
      <c r="A206" s="125">
        <v>43507</v>
      </c>
      <c r="B206" s="108" t="s">
        <v>293</v>
      </c>
      <c r="C206" s="111">
        <v>0.38900000000000001</v>
      </c>
      <c r="D206" s="127">
        <v>0</v>
      </c>
      <c r="E206" s="141">
        <v>0</v>
      </c>
      <c r="F206" s="128" t="s">
        <v>13</v>
      </c>
      <c r="H206" s="15">
        <v>0</v>
      </c>
      <c r="I206" s="15">
        <v>100</v>
      </c>
      <c r="J206" s="15">
        <v>0</v>
      </c>
      <c r="K206" s="15"/>
      <c r="O206" s="14"/>
      <c r="Q206" s="14"/>
    </row>
    <row r="207" spans="1:20" ht="15" customHeight="1" x14ac:dyDescent="0.25">
      <c r="A207" s="145">
        <v>43523</v>
      </c>
      <c r="B207" s="146" t="s">
        <v>295</v>
      </c>
      <c r="C207" s="153">
        <v>0.439</v>
      </c>
      <c r="D207" s="148">
        <v>0</v>
      </c>
      <c r="E207" s="149">
        <v>0</v>
      </c>
      <c r="F207" s="150" t="s">
        <v>13</v>
      </c>
      <c r="G207" s="151"/>
      <c r="H207" s="15">
        <v>0</v>
      </c>
      <c r="I207" s="15">
        <v>100</v>
      </c>
      <c r="J207" s="15">
        <v>0</v>
      </c>
      <c r="K207" s="15"/>
      <c r="O207" s="14"/>
      <c r="Q207" s="14"/>
    </row>
    <row r="208" spans="1:20" ht="15" customHeight="1" x14ac:dyDescent="0.25">
      <c r="A208" s="145">
        <v>43524</v>
      </c>
      <c r="B208" s="146" t="s">
        <v>294</v>
      </c>
      <c r="C208" s="153">
        <v>0.33900000000000002</v>
      </c>
      <c r="D208" s="148">
        <v>0</v>
      </c>
      <c r="E208" s="149">
        <v>0</v>
      </c>
      <c r="F208" s="150" t="s">
        <v>13</v>
      </c>
      <c r="G208" s="151"/>
      <c r="H208" s="15">
        <v>0</v>
      </c>
      <c r="I208" s="15">
        <v>100</v>
      </c>
      <c r="J208" s="15">
        <v>0</v>
      </c>
      <c r="K208" s="15"/>
      <c r="O208" s="14"/>
      <c r="Q208" s="14"/>
    </row>
    <row r="209" spans="1:17" ht="15" customHeight="1" x14ac:dyDescent="0.25">
      <c r="A209" s="145">
        <v>43525</v>
      </c>
      <c r="B209" s="146" t="s">
        <v>139</v>
      </c>
      <c r="C209" s="153">
        <v>0.248</v>
      </c>
      <c r="D209" s="148">
        <v>85</v>
      </c>
      <c r="E209" s="149">
        <v>0</v>
      </c>
      <c r="F209" s="150" t="s">
        <v>199</v>
      </c>
      <c r="G209" s="154" t="s">
        <v>472</v>
      </c>
      <c r="H209" s="15">
        <v>85</v>
      </c>
      <c r="I209" s="15">
        <v>0</v>
      </c>
      <c r="J209" s="15">
        <v>15</v>
      </c>
      <c r="K209" s="15"/>
      <c r="M209" s="14">
        <v>772.01800000000003</v>
      </c>
      <c r="N209" s="18">
        <f t="shared" ref="N209" si="23">M209/60</f>
        <v>12.866966666666666</v>
      </c>
      <c r="O209" s="14">
        <f t="shared" si="9"/>
        <v>0.21444944444444444</v>
      </c>
      <c r="Q209" s="14"/>
    </row>
    <row r="210" spans="1:17" ht="15" customHeight="1" x14ac:dyDescent="0.25">
      <c r="A210" s="152">
        <v>43533</v>
      </c>
      <c r="B210" s="108" t="s">
        <v>296</v>
      </c>
      <c r="C210" s="111">
        <v>8.5999999999999993E-2</v>
      </c>
      <c r="D210" s="15">
        <v>97</v>
      </c>
      <c r="E210" s="107">
        <v>0</v>
      </c>
      <c r="F210" s="135" t="s">
        <v>199</v>
      </c>
      <c r="G210" s="106" t="s">
        <v>474</v>
      </c>
      <c r="H210" s="15">
        <v>97</v>
      </c>
      <c r="I210" s="15">
        <v>3</v>
      </c>
      <c r="J210" s="15">
        <v>0</v>
      </c>
      <c r="K210" s="15"/>
      <c r="L210" s="12"/>
      <c r="M210" s="14">
        <v>1447.4</v>
      </c>
      <c r="N210" s="18">
        <f t="shared" ref="N210" si="24">M210/60</f>
        <v>24.123333333333335</v>
      </c>
      <c r="O210" s="14">
        <f t="shared" si="9"/>
        <v>0.40205555555555555</v>
      </c>
      <c r="Q210" s="14"/>
    </row>
    <row r="211" spans="1:17" ht="15" customHeight="1" x14ac:dyDescent="0.25">
      <c r="A211" s="152">
        <v>43534</v>
      </c>
      <c r="B211" s="108" t="s">
        <v>297</v>
      </c>
      <c r="C211" s="111">
        <v>0.153</v>
      </c>
      <c r="D211" s="15">
        <v>100</v>
      </c>
      <c r="E211" s="128" t="s">
        <v>433</v>
      </c>
      <c r="F211" s="135" t="s">
        <v>199</v>
      </c>
      <c r="G211" s="29" t="s">
        <v>475</v>
      </c>
      <c r="H211" s="15">
        <v>100</v>
      </c>
      <c r="I211" s="15">
        <v>0</v>
      </c>
      <c r="J211" s="15">
        <v>0</v>
      </c>
      <c r="K211" s="15"/>
      <c r="M211" s="14">
        <v>3639.2</v>
      </c>
      <c r="N211" s="18">
        <f t="shared" ref="N211" si="25">M211/60</f>
        <v>60.653333333333329</v>
      </c>
      <c r="O211" s="14">
        <f t="shared" si="9"/>
        <v>1.0108888888888887</v>
      </c>
      <c r="Q211" s="14"/>
    </row>
    <row r="212" spans="1:17" ht="15" customHeight="1" x14ac:dyDescent="0.25">
      <c r="A212" s="152">
        <v>43535</v>
      </c>
      <c r="B212" s="108" t="s">
        <v>298</v>
      </c>
      <c r="C212" s="111">
        <v>0.23499999999999999</v>
      </c>
      <c r="D212" s="127">
        <v>0</v>
      </c>
      <c r="E212" s="141">
        <v>0</v>
      </c>
      <c r="F212" s="128" t="s">
        <v>13</v>
      </c>
      <c r="H212" s="15">
        <v>0</v>
      </c>
      <c r="I212" s="15">
        <v>100</v>
      </c>
      <c r="J212" s="15">
        <v>0</v>
      </c>
      <c r="K212" s="15"/>
      <c r="O212" s="14"/>
      <c r="Q212" s="14"/>
    </row>
    <row r="213" spans="1:17" ht="15" customHeight="1" x14ac:dyDescent="0.25">
      <c r="A213" s="152">
        <v>43536</v>
      </c>
      <c r="B213" s="108" t="s">
        <v>299</v>
      </c>
      <c r="C213" s="111">
        <v>0.33200000000000002</v>
      </c>
      <c r="D213" s="127">
        <v>0</v>
      </c>
      <c r="E213" s="141">
        <v>0</v>
      </c>
      <c r="F213" s="128" t="s">
        <v>476</v>
      </c>
      <c r="H213" s="15">
        <v>0</v>
      </c>
      <c r="I213" s="15">
        <v>100</v>
      </c>
      <c r="J213" s="15">
        <v>0</v>
      </c>
      <c r="K213" s="15"/>
      <c r="O213" s="14"/>
      <c r="Q213" s="14"/>
    </row>
    <row r="214" spans="1:17" ht="15" customHeight="1" x14ac:dyDescent="0.25">
      <c r="A214" s="152">
        <v>43537</v>
      </c>
      <c r="B214" s="108" t="s">
        <v>300</v>
      </c>
      <c r="C214" s="111">
        <v>0.441</v>
      </c>
      <c r="D214" s="15">
        <v>41</v>
      </c>
      <c r="E214" s="107">
        <v>0</v>
      </c>
      <c r="F214" s="135" t="s">
        <v>199</v>
      </c>
      <c r="G214" s="152" t="s">
        <v>490</v>
      </c>
      <c r="H214" s="15">
        <v>41</v>
      </c>
      <c r="I214" s="15">
        <v>59</v>
      </c>
      <c r="J214" s="15">
        <v>0</v>
      </c>
      <c r="K214" s="15">
        <v>443</v>
      </c>
      <c r="L214" s="18">
        <f>100*K214/1060</f>
        <v>41.79245283018868</v>
      </c>
      <c r="M214" s="14">
        <v>4231.6000000000004</v>
      </c>
      <c r="N214" s="18">
        <f t="shared" ref="N214" si="26">M214/60</f>
        <v>70.526666666666671</v>
      </c>
      <c r="O214" s="14">
        <f t="shared" si="9"/>
        <v>1.1754444444444445</v>
      </c>
      <c r="Q214" s="14"/>
    </row>
    <row r="215" spans="1:17" ht="15" customHeight="1" x14ac:dyDescent="0.25">
      <c r="A215" s="155">
        <v>43553</v>
      </c>
      <c r="B215" s="146" t="s">
        <v>301</v>
      </c>
      <c r="C215" s="153">
        <v>0.41</v>
      </c>
      <c r="D215" s="148">
        <v>0</v>
      </c>
      <c r="E215" s="149">
        <v>0</v>
      </c>
      <c r="F215" s="150" t="s">
        <v>13</v>
      </c>
      <c r="G215" s="151"/>
      <c r="H215" s="15">
        <v>0</v>
      </c>
      <c r="I215" s="15">
        <v>100</v>
      </c>
      <c r="J215" s="15">
        <v>0</v>
      </c>
      <c r="K215" s="15"/>
      <c r="N215" s="18"/>
      <c r="O215" s="14"/>
      <c r="Q215" s="14"/>
    </row>
    <row r="216" spans="1:17" ht="15" customHeight="1" x14ac:dyDescent="0.25">
      <c r="A216" s="155">
        <v>43554</v>
      </c>
      <c r="B216" s="146" t="s">
        <v>302</v>
      </c>
      <c r="C216" s="153">
        <v>0.316</v>
      </c>
      <c r="D216" s="148">
        <v>0</v>
      </c>
      <c r="E216" s="149">
        <v>0</v>
      </c>
      <c r="F216" s="150" t="s">
        <v>13</v>
      </c>
      <c r="G216" s="151"/>
      <c r="H216" s="15">
        <v>0</v>
      </c>
      <c r="I216" s="15">
        <v>100</v>
      </c>
      <c r="J216" s="15">
        <v>0</v>
      </c>
      <c r="K216" s="15"/>
      <c r="N216" s="18"/>
      <c r="O216" s="14"/>
      <c r="Q216" s="14"/>
    </row>
    <row r="217" spans="1:17" ht="15" customHeight="1" x14ac:dyDescent="0.25">
      <c r="A217" s="152">
        <v>43563</v>
      </c>
      <c r="B217" s="108" t="s">
        <v>304</v>
      </c>
      <c r="C217" s="111">
        <v>0.115</v>
      </c>
      <c r="D217" s="127">
        <v>0</v>
      </c>
      <c r="E217" s="141">
        <v>0</v>
      </c>
      <c r="F217" s="128" t="s">
        <v>13</v>
      </c>
      <c r="H217" s="15">
        <v>8.9</v>
      </c>
      <c r="I217" s="15">
        <v>100</v>
      </c>
      <c r="J217" s="15">
        <v>0</v>
      </c>
      <c r="K217" s="15"/>
      <c r="N217" s="18"/>
      <c r="O217" s="14"/>
      <c r="Q217" s="14"/>
    </row>
    <row r="218" spans="1:17" ht="15" customHeight="1" x14ac:dyDescent="0.25">
      <c r="A218" s="152">
        <v>43564</v>
      </c>
      <c r="B218" s="108" t="s">
        <v>305</v>
      </c>
      <c r="C218" s="111">
        <v>0.19500000000000001</v>
      </c>
      <c r="D218" s="127">
        <v>0</v>
      </c>
      <c r="E218" s="141">
        <v>0</v>
      </c>
      <c r="F218" s="128" t="s">
        <v>13</v>
      </c>
      <c r="H218" s="15">
        <v>0</v>
      </c>
      <c r="I218" s="15">
        <v>100</v>
      </c>
      <c r="J218" s="15">
        <v>0</v>
      </c>
      <c r="K218" s="15"/>
      <c r="N218" s="18"/>
      <c r="O218" s="14"/>
      <c r="Q218" s="14"/>
    </row>
    <row r="219" spans="1:17" ht="15" customHeight="1" x14ac:dyDescent="0.25">
      <c r="A219" s="152">
        <v>43565</v>
      </c>
      <c r="B219" s="108" t="s">
        <v>306</v>
      </c>
      <c r="C219" s="111">
        <v>0.29099999999999998</v>
      </c>
      <c r="D219" s="15">
        <v>100</v>
      </c>
      <c r="E219" s="128" t="s">
        <v>222</v>
      </c>
      <c r="F219" s="135" t="s">
        <v>199</v>
      </c>
      <c r="G219" s="29" t="s">
        <v>475</v>
      </c>
      <c r="H219" s="15">
        <v>100</v>
      </c>
      <c r="I219" s="15">
        <v>0</v>
      </c>
      <c r="J219" s="15">
        <v>0</v>
      </c>
      <c r="K219" s="15"/>
      <c r="M219" s="14">
        <v>6422.3</v>
      </c>
      <c r="N219" s="18">
        <f t="shared" ref="N219" si="27">M219/60</f>
        <v>107.03833333333334</v>
      </c>
      <c r="O219" s="14">
        <f t="shared" si="9"/>
        <v>1.7839722222222223</v>
      </c>
      <c r="Q219" s="14"/>
    </row>
    <row r="220" spans="1:17" ht="15" customHeight="1" x14ac:dyDescent="0.25">
      <c r="A220" s="152">
        <v>43566</v>
      </c>
      <c r="B220" s="108" t="s">
        <v>307</v>
      </c>
      <c r="C220" s="111">
        <v>0.4</v>
      </c>
      <c r="D220" s="127">
        <v>0</v>
      </c>
      <c r="E220" s="141">
        <v>0</v>
      </c>
      <c r="F220" s="128" t="s">
        <v>13</v>
      </c>
      <c r="H220" s="15">
        <v>0</v>
      </c>
      <c r="I220" s="15">
        <v>100</v>
      </c>
      <c r="J220" s="15">
        <v>0</v>
      </c>
      <c r="K220" s="15"/>
      <c r="N220" s="18"/>
      <c r="O220" s="14"/>
      <c r="Q220" s="14"/>
    </row>
    <row r="221" spans="1:17" ht="15" customHeight="1" x14ac:dyDescent="0.25">
      <c r="A221" s="155">
        <v>43583</v>
      </c>
      <c r="B221" s="146" t="s">
        <v>308</v>
      </c>
      <c r="C221" s="153">
        <v>0.39</v>
      </c>
      <c r="D221" s="148">
        <v>0</v>
      </c>
      <c r="E221" s="149">
        <v>0</v>
      </c>
      <c r="F221" s="150" t="s">
        <v>199</v>
      </c>
      <c r="G221" s="151"/>
      <c r="H221" s="15">
        <v>0</v>
      </c>
      <c r="I221" s="15">
        <v>0</v>
      </c>
      <c r="J221" s="15">
        <v>100</v>
      </c>
      <c r="K221" s="15"/>
      <c r="N221" s="18"/>
      <c r="O221" s="14"/>
      <c r="Q221" s="14"/>
    </row>
    <row r="222" spans="1:17" ht="15" customHeight="1" x14ac:dyDescent="0.25">
      <c r="A222" s="152">
        <v>43592</v>
      </c>
      <c r="B222" s="108" t="s">
        <v>309</v>
      </c>
      <c r="C222" s="111">
        <v>8.8999999999999996E-2</v>
      </c>
      <c r="D222" s="15">
        <v>100</v>
      </c>
      <c r="E222" s="107">
        <v>0</v>
      </c>
      <c r="F222" s="135" t="s">
        <v>198</v>
      </c>
      <c r="H222" s="15">
        <v>100</v>
      </c>
      <c r="I222" s="15">
        <v>0</v>
      </c>
      <c r="J222" s="15">
        <v>0</v>
      </c>
      <c r="K222" s="15"/>
      <c r="M222" s="14">
        <v>1106</v>
      </c>
      <c r="N222" s="18">
        <f t="shared" ref="N222" si="28">M222/60</f>
        <v>18.433333333333334</v>
      </c>
      <c r="O222" s="14">
        <f t="shared" si="9"/>
        <v>0.30722222222222223</v>
      </c>
      <c r="Q222" s="14"/>
    </row>
    <row r="223" spans="1:17" ht="15" customHeight="1" x14ac:dyDescent="0.25">
      <c r="A223" s="152">
        <v>43593</v>
      </c>
      <c r="B223" s="108" t="s">
        <v>310</v>
      </c>
      <c r="C223" s="111">
        <v>0.16500000000000001</v>
      </c>
      <c r="D223" s="15">
        <v>0</v>
      </c>
      <c r="E223" s="107">
        <v>0</v>
      </c>
      <c r="F223" s="128" t="s">
        <v>13</v>
      </c>
      <c r="H223" s="15">
        <v>0</v>
      </c>
      <c r="I223" s="15">
        <v>100</v>
      </c>
      <c r="J223" s="15">
        <v>0</v>
      </c>
      <c r="K223" s="15"/>
      <c r="N223" s="18"/>
      <c r="O223" s="14"/>
      <c r="Q223" s="14"/>
    </row>
    <row r="224" spans="1:17" ht="15" customHeight="1" x14ac:dyDescent="0.25">
      <c r="A224" s="152">
        <v>43594</v>
      </c>
      <c r="B224" s="108" t="s">
        <v>311</v>
      </c>
      <c r="C224" s="111">
        <v>0.26</v>
      </c>
      <c r="D224" s="15">
        <v>0</v>
      </c>
      <c r="E224" s="107">
        <v>0</v>
      </c>
      <c r="F224" s="128" t="s">
        <v>13</v>
      </c>
      <c r="H224" s="15">
        <v>0</v>
      </c>
      <c r="I224" s="15">
        <v>100</v>
      </c>
      <c r="J224" s="15">
        <v>0</v>
      </c>
      <c r="K224" s="15"/>
      <c r="N224" s="18"/>
      <c r="O224" s="14"/>
      <c r="Q224" s="14"/>
    </row>
    <row r="225" spans="1:18" ht="15" customHeight="1" x14ac:dyDescent="0.25">
      <c r="A225" s="152">
        <v>43595</v>
      </c>
      <c r="B225" s="108" t="s">
        <v>312</v>
      </c>
      <c r="C225" s="111">
        <v>0.36899999999999999</v>
      </c>
      <c r="D225" s="15">
        <v>30</v>
      </c>
      <c r="E225" s="107">
        <v>0</v>
      </c>
      <c r="F225" s="135" t="s">
        <v>198</v>
      </c>
      <c r="G225" s="12" t="s">
        <v>253</v>
      </c>
      <c r="H225" s="15">
        <v>30</v>
      </c>
      <c r="I225" s="15">
        <v>70</v>
      </c>
      <c r="J225" s="15">
        <v>0</v>
      </c>
      <c r="K225" s="15"/>
      <c r="L225" s="12"/>
      <c r="M225" s="14">
        <v>2429.56</v>
      </c>
      <c r="N225" s="18">
        <f t="shared" ref="N225" si="29">M225/60</f>
        <v>40.492666666666665</v>
      </c>
      <c r="O225" s="14">
        <f t="shared" si="9"/>
        <v>0.6748777777777778</v>
      </c>
      <c r="Q225" s="14"/>
    </row>
    <row r="226" spans="1:18" ht="15" customHeight="1" x14ac:dyDescent="0.25">
      <c r="A226" s="155">
        <v>43613</v>
      </c>
      <c r="B226" s="146" t="s">
        <v>313</v>
      </c>
      <c r="C226" s="153">
        <v>0.37</v>
      </c>
      <c r="D226" s="148">
        <v>100</v>
      </c>
      <c r="E226" s="149">
        <v>0</v>
      </c>
      <c r="F226" s="150" t="s">
        <v>198</v>
      </c>
      <c r="G226" s="157"/>
      <c r="H226" s="15">
        <v>100</v>
      </c>
      <c r="I226" s="15">
        <v>0</v>
      </c>
      <c r="J226" s="15">
        <v>0</v>
      </c>
      <c r="K226" s="15"/>
      <c r="M226" s="14">
        <v>1777.8</v>
      </c>
      <c r="N226" s="18">
        <f t="shared" ref="N226" si="30">M226/60</f>
        <v>29.63</v>
      </c>
      <c r="O226" s="14">
        <f t="shared" si="9"/>
        <v>0.49383333333333329</v>
      </c>
      <c r="Q226" s="14"/>
    </row>
    <row r="227" spans="1:18" ht="15" customHeight="1" x14ac:dyDescent="0.25">
      <c r="A227" s="155">
        <v>43614</v>
      </c>
      <c r="B227" s="146" t="s">
        <v>73</v>
      </c>
      <c r="C227" s="153">
        <v>0.27800000000000002</v>
      </c>
      <c r="D227" s="148">
        <v>100</v>
      </c>
      <c r="E227" s="149">
        <v>0</v>
      </c>
      <c r="F227" s="150" t="s">
        <v>198</v>
      </c>
      <c r="G227" s="151" t="s">
        <v>475</v>
      </c>
      <c r="H227" s="15">
        <v>100</v>
      </c>
      <c r="I227" s="15">
        <v>0</v>
      </c>
      <c r="J227" s="15">
        <v>0</v>
      </c>
      <c r="K227" s="15"/>
      <c r="M227" s="14">
        <v>1505</v>
      </c>
      <c r="N227" s="18">
        <f t="shared" ref="N227" si="31">M227/60</f>
        <v>25.083333333333332</v>
      </c>
      <c r="O227" s="14">
        <f t="shared" si="9"/>
        <v>0.41805555555555551</v>
      </c>
      <c r="Q227" s="14"/>
    </row>
    <row r="228" spans="1:18" ht="15" customHeight="1" x14ac:dyDescent="0.25">
      <c r="A228" s="152">
        <v>43622</v>
      </c>
      <c r="B228" s="108" t="s">
        <v>314</v>
      </c>
      <c r="C228" s="111">
        <v>0.14099999999999999</v>
      </c>
      <c r="D228" s="15">
        <v>100</v>
      </c>
      <c r="E228" s="107">
        <v>0</v>
      </c>
      <c r="F228" s="135" t="s">
        <v>216</v>
      </c>
      <c r="G228" s="12"/>
      <c r="H228" s="15">
        <v>100</v>
      </c>
      <c r="I228" s="15">
        <v>0</v>
      </c>
      <c r="J228" s="15">
        <v>0</v>
      </c>
      <c r="K228" s="15"/>
      <c r="M228" s="14">
        <v>1949.3</v>
      </c>
      <c r="N228" s="18">
        <f t="shared" ref="N228" si="32">M228/60</f>
        <v>32.48833333333333</v>
      </c>
      <c r="O228" s="14">
        <f t="shared" si="9"/>
        <v>0.54147222222222213</v>
      </c>
      <c r="Q228" s="14"/>
    </row>
    <row r="229" spans="1:18" ht="15" customHeight="1" x14ac:dyDescent="0.25">
      <c r="A229" s="152">
        <v>43623</v>
      </c>
      <c r="B229" s="108" t="s">
        <v>315</v>
      </c>
      <c r="C229" s="111">
        <v>0.23499999999999999</v>
      </c>
      <c r="D229" s="15">
        <v>100</v>
      </c>
      <c r="E229" s="107">
        <v>0</v>
      </c>
      <c r="F229" s="135" t="s">
        <v>216</v>
      </c>
      <c r="G229" s="12"/>
      <c r="H229" s="15">
        <v>100</v>
      </c>
      <c r="I229" s="15">
        <v>0</v>
      </c>
      <c r="J229" s="15">
        <v>0</v>
      </c>
      <c r="K229" s="15"/>
      <c r="M229" s="14">
        <v>3600.26</v>
      </c>
      <c r="N229" s="18">
        <f t="shared" ref="N229:N238" si="33">M229/60</f>
        <v>60.004333333333335</v>
      </c>
      <c r="O229" s="14">
        <f t="shared" si="9"/>
        <v>1.0000722222222223</v>
      </c>
      <c r="Q229" s="14"/>
    </row>
    <row r="230" spans="1:18" ht="15" customHeight="1" x14ac:dyDescent="0.25">
      <c r="A230" s="152">
        <v>43624</v>
      </c>
      <c r="B230" s="108" t="s">
        <v>316</v>
      </c>
      <c r="C230" s="111">
        <v>0.34300000000000003</v>
      </c>
      <c r="D230" s="15">
        <v>94</v>
      </c>
      <c r="E230" s="135" t="s">
        <v>481</v>
      </c>
      <c r="F230" s="135" t="s">
        <v>216</v>
      </c>
      <c r="G230" s="12"/>
      <c r="H230" s="15">
        <v>94</v>
      </c>
      <c r="I230" s="15">
        <v>6</v>
      </c>
      <c r="J230" s="15">
        <v>0</v>
      </c>
      <c r="K230" s="15"/>
      <c r="L230" s="12"/>
      <c r="M230" s="14">
        <v>4841.2</v>
      </c>
      <c r="N230" s="18">
        <f t="shared" si="33"/>
        <v>80.686666666666667</v>
      </c>
      <c r="O230" s="14">
        <f t="shared" ref="O230:O293" si="34">N230/60</f>
        <v>1.3447777777777778</v>
      </c>
      <c r="Q230" s="14"/>
    </row>
    <row r="231" spans="1:18" ht="15" customHeight="1" x14ac:dyDescent="0.25">
      <c r="A231" s="152">
        <v>43625</v>
      </c>
      <c r="B231" s="108" t="s">
        <v>317</v>
      </c>
      <c r="C231" s="111">
        <v>0.46</v>
      </c>
      <c r="D231" s="15">
        <v>28</v>
      </c>
      <c r="E231" s="107">
        <v>0</v>
      </c>
      <c r="F231" s="135" t="s">
        <v>199</v>
      </c>
      <c r="G231" s="140" t="s">
        <v>489</v>
      </c>
      <c r="H231" s="15">
        <v>28</v>
      </c>
      <c r="I231" s="15">
        <v>72</v>
      </c>
      <c r="J231" s="15">
        <v>0</v>
      </c>
      <c r="K231" s="15">
        <v>584</v>
      </c>
      <c r="L231" s="18">
        <f>100*K231/1060</f>
        <v>55.094339622641506</v>
      </c>
      <c r="M231" s="14">
        <v>2123.8000000000002</v>
      </c>
      <c r="N231" s="18">
        <f t="shared" si="33"/>
        <v>35.396666666666668</v>
      </c>
      <c r="O231" s="14">
        <f t="shared" si="34"/>
        <v>0.58994444444444449</v>
      </c>
      <c r="Q231" s="14"/>
    </row>
    <row r="232" spans="1:18" ht="15" customHeight="1" x14ac:dyDescent="0.25">
      <c r="A232" s="155">
        <v>43642</v>
      </c>
      <c r="B232" s="146" t="s">
        <v>318</v>
      </c>
      <c r="C232" s="153">
        <v>0.442</v>
      </c>
      <c r="D232" s="148">
        <v>100</v>
      </c>
      <c r="E232" s="150" t="s">
        <v>482</v>
      </c>
      <c r="F232" s="150" t="s">
        <v>199</v>
      </c>
      <c r="G232" s="158" t="s">
        <v>483</v>
      </c>
      <c r="H232" s="15">
        <v>100</v>
      </c>
      <c r="I232" s="15">
        <v>0</v>
      </c>
      <c r="J232" s="15">
        <v>0</v>
      </c>
      <c r="K232" s="15">
        <v>748</v>
      </c>
      <c r="L232" s="18">
        <f>100*K232/1060</f>
        <v>70.566037735849051</v>
      </c>
      <c r="M232" s="14">
        <v>4182.8</v>
      </c>
      <c r="N232" s="18">
        <f t="shared" si="33"/>
        <v>69.713333333333338</v>
      </c>
      <c r="O232" s="14">
        <f t="shared" si="34"/>
        <v>1.161888888888889</v>
      </c>
      <c r="Q232" s="14"/>
    </row>
    <row r="233" spans="1:18" s="12" customFormat="1" ht="15" customHeight="1" x14ac:dyDescent="0.25">
      <c r="A233" s="155">
        <v>43643</v>
      </c>
      <c r="B233" s="146" t="s">
        <v>319</v>
      </c>
      <c r="C233" s="153">
        <v>0.34399999999999997</v>
      </c>
      <c r="D233" s="148">
        <v>100</v>
      </c>
      <c r="E233" s="149">
        <v>0</v>
      </c>
      <c r="F233" s="150" t="s">
        <v>198</v>
      </c>
      <c r="G233" s="157"/>
      <c r="H233" s="15">
        <v>100</v>
      </c>
      <c r="I233" s="15">
        <v>0</v>
      </c>
      <c r="J233" s="15">
        <v>0</v>
      </c>
      <c r="K233" s="15"/>
      <c r="M233" s="14">
        <v>3128.5</v>
      </c>
      <c r="N233" s="18">
        <f t="shared" si="33"/>
        <v>52.141666666666666</v>
      </c>
      <c r="O233" s="14">
        <f t="shared" si="34"/>
        <v>0.86902777777777773</v>
      </c>
      <c r="P233" s="14"/>
      <c r="Q233" s="14"/>
      <c r="R233" s="14"/>
    </row>
    <row r="234" spans="1:18" ht="15" customHeight="1" x14ac:dyDescent="0.25">
      <c r="A234" s="155">
        <v>43644</v>
      </c>
      <c r="B234" s="146" t="s">
        <v>320</v>
      </c>
      <c r="C234" s="153">
        <v>0.25</v>
      </c>
      <c r="D234" s="148">
        <v>100</v>
      </c>
      <c r="E234" s="150" t="s">
        <v>235</v>
      </c>
      <c r="F234" s="150" t="s">
        <v>216</v>
      </c>
      <c r="G234" s="157"/>
      <c r="H234" s="15">
        <v>100</v>
      </c>
      <c r="I234" s="15">
        <v>0</v>
      </c>
      <c r="J234" s="15">
        <v>0</v>
      </c>
      <c r="K234" s="15"/>
      <c r="L234" s="12"/>
      <c r="M234" s="14">
        <v>1912.8</v>
      </c>
      <c r="N234" s="18">
        <f t="shared" si="33"/>
        <v>31.88</v>
      </c>
      <c r="O234" s="14">
        <f t="shared" si="34"/>
        <v>0.53133333333333332</v>
      </c>
      <c r="Q234" s="14"/>
    </row>
    <row r="235" spans="1:18" s="12" customFormat="1" ht="15" customHeight="1" x14ac:dyDescent="0.25">
      <c r="A235" s="155">
        <v>43645</v>
      </c>
      <c r="B235" s="146" t="s">
        <v>321</v>
      </c>
      <c r="C235" s="153">
        <v>0.16400000000000001</v>
      </c>
      <c r="D235" s="148">
        <v>8</v>
      </c>
      <c r="E235" s="149">
        <v>0</v>
      </c>
      <c r="F235" s="150" t="s">
        <v>484</v>
      </c>
      <c r="G235" s="157" t="s">
        <v>253</v>
      </c>
      <c r="H235" s="15">
        <v>8</v>
      </c>
      <c r="I235" s="15">
        <v>92</v>
      </c>
      <c r="J235" s="15">
        <v>0</v>
      </c>
      <c r="K235" s="15"/>
      <c r="M235" s="14">
        <v>105</v>
      </c>
      <c r="N235" s="18">
        <f t="shared" si="33"/>
        <v>1.75</v>
      </c>
      <c r="O235" s="14">
        <f t="shared" si="34"/>
        <v>2.9166666666666667E-2</v>
      </c>
      <c r="P235" s="14"/>
      <c r="Q235" s="14"/>
      <c r="R235" s="14"/>
    </row>
    <row r="236" spans="1:18" ht="15" customHeight="1" x14ac:dyDescent="0.25">
      <c r="A236" s="152">
        <v>43652</v>
      </c>
      <c r="B236" s="108" t="s">
        <v>322</v>
      </c>
      <c r="C236" s="111">
        <v>0.21199999999999999</v>
      </c>
      <c r="D236" s="15">
        <v>100</v>
      </c>
      <c r="E236" s="128" t="s">
        <v>222</v>
      </c>
      <c r="F236" s="135" t="s">
        <v>216</v>
      </c>
      <c r="G236" s="12"/>
      <c r="H236" s="15">
        <v>100</v>
      </c>
      <c r="I236" s="15">
        <v>0</v>
      </c>
      <c r="J236" s="15">
        <v>0</v>
      </c>
      <c r="K236" s="15"/>
      <c r="L236" s="12"/>
      <c r="M236" s="14">
        <v>2307</v>
      </c>
      <c r="N236" s="18">
        <f t="shared" si="33"/>
        <v>38.450000000000003</v>
      </c>
      <c r="O236" s="14">
        <f t="shared" si="34"/>
        <v>0.64083333333333337</v>
      </c>
      <c r="Q236" s="14"/>
    </row>
    <row r="237" spans="1:18" ht="15" customHeight="1" x14ac:dyDescent="0.25">
      <c r="A237" s="152">
        <v>43653</v>
      </c>
      <c r="B237" s="108" t="s">
        <v>323</v>
      </c>
      <c r="C237" s="111">
        <v>0.318</v>
      </c>
      <c r="D237" s="15">
        <v>100</v>
      </c>
      <c r="E237" s="128" t="s">
        <v>273</v>
      </c>
      <c r="F237" s="135" t="s">
        <v>201</v>
      </c>
      <c r="G237" s="12"/>
      <c r="H237" s="15">
        <v>100</v>
      </c>
      <c r="I237" s="15">
        <v>0</v>
      </c>
      <c r="J237" s="15">
        <v>0</v>
      </c>
      <c r="K237" s="15"/>
      <c r="L237" s="12"/>
      <c r="M237" s="14">
        <v>3814.9</v>
      </c>
      <c r="N237" s="18">
        <f t="shared" si="33"/>
        <v>63.581666666666671</v>
      </c>
      <c r="O237" s="14">
        <f t="shared" si="34"/>
        <v>1.0596944444444445</v>
      </c>
      <c r="Q237" s="14"/>
    </row>
    <row r="238" spans="1:18" ht="15" customHeight="1" x14ac:dyDescent="0.25">
      <c r="A238" s="152">
        <v>43654</v>
      </c>
      <c r="B238" s="108" t="s">
        <v>156</v>
      </c>
      <c r="C238" s="111">
        <v>0.433</v>
      </c>
      <c r="D238" s="15">
        <v>100</v>
      </c>
      <c r="E238" s="135" t="s">
        <v>486</v>
      </c>
      <c r="F238" s="135" t="s">
        <v>216</v>
      </c>
      <c r="G238" s="158" t="s">
        <v>488</v>
      </c>
      <c r="H238" s="15">
        <v>100</v>
      </c>
      <c r="I238" s="15">
        <v>0</v>
      </c>
      <c r="J238" s="15">
        <v>0</v>
      </c>
      <c r="K238" s="15">
        <v>866</v>
      </c>
      <c r="L238" s="18">
        <f>100*K238/1060</f>
        <v>81.698113207547166</v>
      </c>
      <c r="M238" s="14">
        <v>5086.3</v>
      </c>
      <c r="N238" s="14">
        <f t="shared" si="33"/>
        <v>84.771666666666675</v>
      </c>
      <c r="O238" s="14">
        <f t="shared" si="34"/>
        <v>1.4128611111111113</v>
      </c>
      <c r="Q238" s="14"/>
    </row>
    <row r="239" spans="1:18" ht="15" customHeight="1" x14ac:dyDescent="0.25">
      <c r="A239" s="159">
        <v>43662</v>
      </c>
      <c r="B239" s="160" t="s">
        <v>467</v>
      </c>
      <c r="C239" s="161">
        <v>1</v>
      </c>
      <c r="D239" s="162">
        <v>0</v>
      </c>
      <c r="E239" s="163">
        <v>0</v>
      </c>
      <c r="F239" s="164" t="s">
        <v>17</v>
      </c>
      <c r="G239" s="165" t="s">
        <v>466</v>
      </c>
      <c r="H239" s="15">
        <v>0</v>
      </c>
      <c r="I239" s="15">
        <v>100</v>
      </c>
      <c r="J239" s="15">
        <v>0</v>
      </c>
      <c r="K239" s="15"/>
      <c r="N239" s="14"/>
      <c r="O239" s="14"/>
      <c r="Q239" s="14"/>
    </row>
    <row r="240" spans="1:18" ht="15" customHeight="1" x14ac:dyDescent="0.25">
      <c r="A240" s="155">
        <v>43672</v>
      </c>
      <c r="B240" s="146" t="s">
        <v>324</v>
      </c>
      <c r="C240" s="153">
        <v>0.40799999999999997</v>
      </c>
      <c r="D240" s="148">
        <v>100</v>
      </c>
      <c r="E240" s="150" t="s">
        <v>235</v>
      </c>
      <c r="F240" s="150" t="s">
        <v>216</v>
      </c>
      <c r="G240" s="151" t="s">
        <v>502</v>
      </c>
      <c r="H240" s="15">
        <v>100</v>
      </c>
      <c r="I240" s="15">
        <v>0</v>
      </c>
      <c r="J240" s="15">
        <v>0</v>
      </c>
      <c r="K240" s="15">
        <v>888</v>
      </c>
      <c r="L240" s="18">
        <f>100*K240/1060</f>
        <v>83.773584905660371</v>
      </c>
      <c r="M240" s="14">
        <v>6159.6</v>
      </c>
      <c r="N240" s="14">
        <f t="shared" ref="N240" si="35">M240/60</f>
        <v>102.66000000000001</v>
      </c>
      <c r="O240" s="14">
        <f t="shared" si="34"/>
        <v>1.7110000000000001</v>
      </c>
      <c r="Q240" s="14"/>
    </row>
    <row r="241" spans="1:17" ht="15" customHeight="1" x14ac:dyDescent="0.25">
      <c r="A241" s="155">
        <v>43673</v>
      </c>
      <c r="B241" s="146" t="s">
        <v>325</v>
      </c>
      <c r="C241" s="153">
        <v>0.30599999999999999</v>
      </c>
      <c r="D241" s="148">
        <v>100</v>
      </c>
      <c r="E241" s="150" t="s">
        <v>499</v>
      </c>
      <c r="F241" s="150" t="s">
        <v>201</v>
      </c>
      <c r="G241" s="151" t="s">
        <v>500</v>
      </c>
      <c r="H241" s="15">
        <v>100</v>
      </c>
      <c r="I241" s="15">
        <v>0</v>
      </c>
      <c r="J241" s="15">
        <v>0</v>
      </c>
      <c r="K241" s="15"/>
      <c r="L241" s="12"/>
      <c r="M241" s="14">
        <v>4746.6000000000004</v>
      </c>
      <c r="N241" s="14">
        <f t="shared" ref="N241" si="36">M241/60</f>
        <v>79.11</v>
      </c>
      <c r="O241" s="14">
        <f t="shared" si="34"/>
        <v>1.3185</v>
      </c>
      <c r="Q241" s="14"/>
    </row>
    <row r="242" spans="1:17" ht="15" customHeight="1" x14ac:dyDescent="0.25">
      <c r="A242" s="155">
        <v>43674</v>
      </c>
      <c r="B242" s="146" t="s">
        <v>326</v>
      </c>
      <c r="C242" s="153">
        <v>0.21</v>
      </c>
      <c r="D242" s="148">
        <v>100</v>
      </c>
      <c r="E242" s="150" t="s">
        <v>279</v>
      </c>
      <c r="F242" s="150" t="s">
        <v>201</v>
      </c>
      <c r="G242" s="151" t="s">
        <v>501</v>
      </c>
      <c r="H242" s="15">
        <v>100</v>
      </c>
      <c r="I242" s="15">
        <v>0</v>
      </c>
      <c r="J242" s="15">
        <v>0</v>
      </c>
      <c r="K242" s="15"/>
      <c r="L242" s="12"/>
      <c r="M242" s="14">
        <v>3290.5</v>
      </c>
      <c r="N242" s="14">
        <f t="shared" ref="N242:N243" si="37">M242/60</f>
        <v>54.841666666666669</v>
      </c>
      <c r="O242" s="14">
        <f t="shared" si="34"/>
        <v>0.91402777777777777</v>
      </c>
      <c r="Q242" s="14"/>
    </row>
    <row r="243" spans="1:17" ht="15" customHeight="1" x14ac:dyDescent="0.25">
      <c r="A243" s="155">
        <v>43675</v>
      </c>
      <c r="B243" s="146" t="s">
        <v>330</v>
      </c>
      <c r="C243" s="153">
        <v>0.124</v>
      </c>
      <c r="D243" s="148">
        <v>100</v>
      </c>
      <c r="E243" s="149">
        <v>0</v>
      </c>
      <c r="F243" s="150" t="s">
        <v>198</v>
      </c>
      <c r="G243" s="157" t="s">
        <v>503</v>
      </c>
      <c r="H243" s="15">
        <v>100</v>
      </c>
      <c r="I243" s="15">
        <v>0</v>
      </c>
      <c r="J243" s="15">
        <v>0</v>
      </c>
      <c r="K243" s="15"/>
      <c r="L243" s="12"/>
      <c r="M243" s="14">
        <v>1613</v>
      </c>
      <c r="N243" s="14">
        <f t="shared" si="37"/>
        <v>26.883333333333333</v>
      </c>
      <c r="O243" s="14">
        <f t="shared" si="34"/>
        <v>0.44805555555555554</v>
      </c>
      <c r="Q243" s="14"/>
    </row>
    <row r="244" spans="1:17" ht="15" customHeight="1" x14ac:dyDescent="0.25">
      <c r="A244" s="152">
        <v>43681</v>
      </c>
      <c r="B244" s="108" t="s">
        <v>327</v>
      </c>
      <c r="C244" s="111">
        <v>0.185</v>
      </c>
      <c r="D244" s="15">
        <v>0</v>
      </c>
      <c r="E244" s="107">
        <v>0</v>
      </c>
      <c r="F244" s="128" t="s">
        <v>13</v>
      </c>
      <c r="H244" s="15">
        <v>0</v>
      </c>
      <c r="I244" s="15">
        <v>100</v>
      </c>
      <c r="J244" s="15">
        <v>0</v>
      </c>
      <c r="K244" s="15"/>
      <c r="L244" s="12"/>
      <c r="N244" s="14"/>
      <c r="O244" s="14"/>
      <c r="Q244" s="14"/>
    </row>
    <row r="245" spans="1:17" ht="15" customHeight="1" x14ac:dyDescent="0.25">
      <c r="A245" s="152">
        <v>43682</v>
      </c>
      <c r="B245" s="108" t="s">
        <v>328</v>
      </c>
      <c r="C245" s="111">
        <v>0.28799999999999998</v>
      </c>
      <c r="D245" s="15">
        <v>40</v>
      </c>
      <c r="E245" s="107">
        <v>0</v>
      </c>
      <c r="F245" s="135" t="s">
        <v>199</v>
      </c>
      <c r="G245" s="29" t="s">
        <v>253</v>
      </c>
      <c r="H245" s="15">
        <v>40</v>
      </c>
      <c r="I245" s="15">
        <v>60</v>
      </c>
      <c r="J245" s="15">
        <v>0</v>
      </c>
      <c r="K245" s="15"/>
      <c r="L245" s="12"/>
      <c r="M245" s="14">
        <v>940</v>
      </c>
      <c r="N245" s="14">
        <f t="shared" ref="N245" si="38">M245/60</f>
        <v>15.666666666666666</v>
      </c>
      <c r="O245" s="14">
        <f t="shared" si="34"/>
        <v>0.26111111111111113</v>
      </c>
      <c r="Q245" s="14"/>
    </row>
    <row r="246" spans="1:17" ht="15" customHeight="1" x14ac:dyDescent="0.25">
      <c r="A246" s="152">
        <v>43683</v>
      </c>
      <c r="B246" s="108" t="s">
        <v>329</v>
      </c>
      <c r="C246" s="111">
        <v>0.39900000000000002</v>
      </c>
      <c r="D246" s="15">
        <v>100</v>
      </c>
      <c r="E246" s="135" t="s">
        <v>505</v>
      </c>
      <c r="F246" s="135" t="s">
        <v>198</v>
      </c>
      <c r="G246" s="166" t="s">
        <v>506</v>
      </c>
      <c r="H246" s="15">
        <v>100</v>
      </c>
      <c r="I246" s="15">
        <v>0</v>
      </c>
      <c r="J246" s="15">
        <v>0</v>
      </c>
      <c r="K246" s="15">
        <v>887</v>
      </c>
      <c r="L246" s="18">
        <f>100*K246/1060</f>
        <v>83.679245283018872</v>
      </c>
      <c r="M246" s="14">
        <v>3291.3</v>
      </c>
      <c r="N246" s="14">
        <f t="shared" ref="N246" si="39">M246/60</f>
        <v>54.855000000000004</v>
      </c>
      <c r="O246" s="14">
        <f t="shared" si="34"/>
        <v>0.91425000000000012</v>
      </c>
      <c r="Q246" s="14"/>
    </row>
    <row r="247" spans="1:17" ht="15" customHeight="1" x14ac:dyDescent="0.25">
      <c r="A247" s="155">
        <v>43702</v>
      </c>
      <c r="B247" s="146" t="s">
        <v>331</v>
      </c>
      <c r="C247" s="153">
        <v>0.36</v>
      </c>
      <c r="D247" s="148">
        <v>100</v>
      </c>
      <c r="E247" s="149">
        <v>0</v>
      </c>
      <c r="F247" s="150" t="s">
        <v>198</v>
      </c>
      <c r="G247" s="157"/>
      <c r="H247" s="15">
        <v>100</v>
      </c>
      <c r="I247" s="15">
        <v>0</v>
      </c>
      <c r="J247" s="15">
        <v>0</v>
      </c>
      <c r="K247" s="15"/>
      <c r="L247" s="12"/>
      <c r="M247" s="14">
        <v>7257.5</v>
      </c>
      <c r="N247" s="14">
        <f t="shared" ref="N247:N263" si="40">M247/60</f>
        <v>120.95833333333333</v>
      </c>
      <c r="O247" s="14">
        <f t="shared" si="34"/>
        <v>2.0159722222222221</v>
      </c>
      <c r="Q247" s="14"/>
    </row>
    <row r="248" spans="1:17" ht="15" customHeight="1" x14ac:dyDescent="0.25">
      <c r="A248" s="155">
        <v>43703</v>
      </c>
      <c r="B248" s="146" t="s">
        <v>332</v>
      </c>
      <c r="C248" s="153">
        <v>0.254</v>
      </c>
      <c r="D248" s="132">
        <v>100</v>
      </c>
      <c r="E248" s="2" t="s">
        <v>222</v>
      </c>
      <c r="F248" s="2" t="s">
        <v>19</v>
      </c>
      <c r="G248" s="151"/>
      <c r="H248" s="15">
        <v>100</v>
      </c>
      <c r="I248" s="15">
        <v>0</v>
      </c>
      <c r="J248" s="15">
        <v>0</v>
      </c>
      <c r="M248" s="14">
        <v>5788.4560000000001</v>
      </c>
      <c r="N248" s="18">
        <f t="shared" si="40"/>
        <v>96.474266666666665</v>
      </c>
      <c r="O248" s="14">
        <f t="shared" si="34"/>
        <v>1.6079044444444444</v>
      </c>
      <c r="Q248" s="14"/>
    </row>
    <row r="249" spans="1:17" ht="15" customHeight="1" x14ac:dyDescent="0.25">
      <c r="A249" s="155">
        <v>43704</v>
      </c>
      <c r="B249" s="146" t="s">
        <v>179</v>
      </c>
      <c r="C249" s="153">
        <v>0.158</v>
      </c>
      <c r="D249" s="148">
        <v>92</v>
      </c>
      <c r="E249" s="150" t="s">
        <v>433</v>
      </c>
      <c r="F249" s="2" t="s">
        <v>19</v>
      </c>
      <c r="G249" s="151" t="s">
        <v>507</v>
      </c>
      <c r="H249" s="15">
        <v>92</v>
      </c>
      <c r="I249" s="15">
        <v>8</v>
      </c>
      <c r="J249" s="15">
        <v>0</v>
      </c>
      <c r="M249" s="14">
        <v>3123.1</v>
      </c>
      <c r="N249" s="18">
        <f t="shared" si="40"/>
        <v>52.051666666666662</v>
      </c>
      <c r="O249" s="14">
        <f t="shared" si="34"/>
        <v>0.86752777777777768</v>
      </c>
      <c r="Q249" s="14"/>
    </row>
    <row r="250" spans="1:17" ht="15" customHeight="1" x14ac:dyDescent="0.25">
      <c r="A250" s="155">
        <v>43705</v>
      </c>
      <c r="B250" s="146" t="s">
        <v>333</v>
      </c>
      <c r="C250" s="153">
        <v>7.9000000000000001E-2</v>
      </c>
      <c r="D250" s="148">
        <v>100</v>
      </c>
      <c r="E250" s="2" t="s">
        <v>222</v>
      </c>
      <c r="F250" s="150" t="s">
        <v>198</v>
      </c>
      <c r="G250" s="151"/>
      <c r="H250" s="15">
        <v>100</v>
      </c>
      <c r="I250" s="15">
        <v>0</v>
      </c>
      <c r="J250" s="15">
        <v>0</v>
      </c>
      <c r="M250" s="14">
        <v>1180.2449999999999</v>
      </c>
      <c r="N250" s="18">
        <f t="shared" si="40"/>
        <v>19.670749999999998</v>
      </c>
      <c r="O250" s="14">
        <f t="shared" si="34"/>
        <v>0.32784583333333328</v>
      </c>
      <c r="Q250" s="14"/>
    </row>
    <row r="251" spans="1:17" ht="15" customHeight="1" x14ac:dyDescent="0.25">
      <c r="A251" s="152">
        <v>43711</v>
      </c>
      <c r="B251" s="108" t="s">
        <v>334</v>
      </c>
      <c r="C251" s="111">
        <v>0.249</v>
      </c>
      <c r="D251" s="15">
        <v>100</v>
      </c>
      <c r="E251" s="107">
        <v>0</v>
      </c>
      <c r="F251" s="135" t="s">
        <v>198</v>
      </c>
      <c r="H251" s="15">
        <v>100</v>
      </c>
      <c r="I251" s="15">
        <v>0</v>
      </c>
      <c r="J251" s="15">
        <v>0</v>
      </c>
      <c r="M251" s="14">
        <v>930.44</v>
      </c>
      <c r="N251" s="18">
        <f t="shared" si="40"/>
        <v>15.507333333333333</v>
      </c>
      <c r="O251" s="14">
        <f t="shared" si="34"/>
        <v>0.25845555555555555</v>
      </c>
      <c r="Q251" s="14"/>
    </row>
    <row r="252" spans="1:17" ht="15" customHeight="1" x14ac:dyDescent="0.25">
      <c r="A252" s="152">
        <v>43712</v>
      </c>
      <c r="B252" s="108" t="s">
        <v>303</v>
      </c>
      <c r="C252" s="111">
        <v>0.35499999999999998</v>
      </c>
      <c r="D252" s="127">
        <v>100</v>
      </c>
      <c r="E252" s="107">
        <v>0</v>
      </c>
      <c r="F252" s="135" t="s">
        <v>198</v>
      </c>
      <c r="H252" s="15">
        <v>100</v>
      </c>
      <c r="I252" s="15">
        <v>0</v>
      </c>
      <c r="J252" s="15">
        <v>0</v>
      </c>
      <c r="M252" s="14">
        <v>2799.4</v>
      </c>
      <c r="N252" s="18">
        <f t="shared" si="40"/>
        <v>46.656666666666666</v>
      </c>
      <c r="O252" s="14">
        <f t="shared" si="34"/>
        <v>0.77761111111111114</v>
      </c>
      <c r="Q252" s="14"/>
    </row>
    <row r="253" spans="1:17" ht="15" customHeight="1" x14ac:dyDescent="0.25">
      <c r="A253" s="152">
        <v>43713</v>
      </c>
      <c r="B253" s="108" t="s">
        <v>335</v>
      </c>
      <c r="C253" s="111">
        <v>0.46400000000000002</v>
      </c>
      <c r="D253" s="127">
        <v>100</v>
      </c>
      <c r="E253" s="128" t="s">
        <v>235</v>
      </c>
      <c r="F253" s="135" t="s">
        <v>198</v>
      </c>
      <c r="G253" s="140" t="s">
        <v>509</v>
      </c>
      <c r="H253" s="15">
        <v>100</v>
      </c>
      <c r="I253" s="15">
        <v>0</v>
      </c>
      <c r="J253" s="15">
        <v>0</v>
      </c>
      <c r="K253" s="15">
        <v>838</v>
      </c>
      <c r="L253" s="18">
        <f>100*K253/1060</f>
        <v>79.056603773584911</v>
      </c>
      <c r="M253" s="14">
        <v>3553.98</v>
      </c>
      <c r="N253" s="18">
        <f t="shared" si="40"/>
        <v>59.232999999999997</v>
      </c>
      <c r="O253" s="14">
        <f t="shared" si="34"/>
        <v>0.98721666666666663</v>
      </c>
      <c r="Q253" s="14"/>
    </row>
    <row r="254" spans="1:17" ht="15" customHeight="1" x14ac:dyDescent="0.25">
      <c r="A254" s="155">
        <v>43731</v>
      </c>
      <c r="B254" s="146" t="s">
        <v>336</v>
      </c>
      <c r="C254" s="153">
        <v>0.40699999999999997</v>
      </c>
      <c r="D254" s="148">
        <v>96</v>
      </c>
      <c r="E254" s="150" t="s">
        <v>486</v>
      </c>
      <c r="F254" s="150" t="s">
        <v>198</v>
      </c>
      <c r="G254" s="154" t="s">
        <v>510</v>
      </c>
      <c r="H254" s="15">
        <v>96</v>
      </c>
      <c r="I254" s="15">
        <v>4</v>
      </c>
      <c r="J254" s="15">
        <v>0</v>
      </c>
      <c r="K254" s="15">
        <v>1020</v>
      </c>
      <c r="L254" s="18">
        <f>100*K254/1060</f>
        <v>96.226415094339629</v>
      </c>
      <c r="M254" s="14">
        <v>8712</v>
      </c>
      <c r="N254" s="18">
        <f t="shared" si="40"/>
        <v>145.19999999999999</v>
      </c>
      <c r="O254" s="14">
        <f t="shared" si="34"/>
        <v>2.42</v>
      </c>
      <c r="Q254" s="14"/>
    </row>
    <row r="255" spans="1:17" ht="15" customHeight="1" x14ac:dyDescent="0.25">
      <c r="A255" s="155">
        <v>43732</v>
      </c>
      <c r="B255" s="146" t="s">
        <v>337</v>
      </c>
      <c r="C255" s="153">
        <v>0.29499999999999998</v>
      </c>
      <c r="D255" s="148">
        <v>54</v>
      </c>
      <c r="E255" s="149">
        <v>0</v>
      </c>
      <c r="F255" s="150" t="s">
        <v>199</v>
      </c>
      <c r="G255" s="151" t="s">
        <v>511</v>
      </c>
      <c r="H255" s="15">
        <v>54</v>
      </c>
      <c r="I255" s="15">
        <v>46</v>
      </c>
      <c r="J255" s="15">
        <v>0</v>
      </c>
      <c r="K255" s="15"/>
      <c r="L255" s="18"/>
      <c r="M255" s="14">
        <v>4466.3999999999996</v>
      </c>
      <c r="N255" s="18">
        <f t="shared" si="40"/>
        <v>74.44</v>
      </c>
      <c r="O255" s="14">
        <f t="shared" si="34"/>
        <v>1.2406666666666666</v>
      </c>
      <c r="Q255" s="14"/>
    </row>
    <row r="256" spans="1:17" ht="15" customHeight="1" x14ac:dyDescent="0.25">
      <c r="A256" s="155">
        <v>43733</v>
      </c>
      <c r="B256" s="146" t="s">
        <v>171</v>
      </c>
      <c r="C256" s="153">
        <v>0.191</v>
      </c>
      <c r="D256" s="148">
        <v>100</v>
      </c>
      <c r="E256" s="2" t="s">
        <v>222</v>
      </c>
      <c r="F256" s="2" t="s">
        <v>19</v>
      </c>
      <c r="G256" s="151"/>
      <c r="H256" s="15">
        <v>100</v>
      </c>
      <c r="I256" s="15">
        <v>0</v>
      </c>
      <c r="J256" s="15">
        <v>0</v>
      </c>
      <c r="K256" s="15"/>
      <c r="L256" s="12"/>
      <c r="M256" s="14">
        <v>4970.1899999999996</v>
      </c>
      <c r="N256" s="18">
        <f t="shared" si="40"/>
        <v>82.836499999999987</v>
      </c>
      <c r="O256" s="14">
        <f t="shared" si="34"/>
        <v>1.3806083333333332</v>
      </c>
      <c r="Q256" s="14"/>
    </row>
    <row r="257" spans="1:18" ht="15" customHeight="1" x14ac:dyDescent="0.25">
      <c r="A257" s="155">
        <v>43734</v>
      </c>
      <c r="B257" s="146" t="s">
        <v>338</v>
      </c>
      <c r="C257" s="153">
        <v>0.10299999999999999</v>
      </c>
      <c r="D257" s="148">
        <v>100</v>
      </c>
      <c r="E257" s="149">
        <v>0</v>
      </c>
      <c r="F257" s="2" t="s">
        <v>19</v>
      </c>
      <c r="G257" s="151"/>
      <c r="H257" s="15">
        <v>100</v>
      </c>
      <c r="I257" s="15">
        <v>0</v>
      </c>
      <c r="J257" s="15">
        <v>0</v>
      </c>
      <c r="K257" s="15"/>
      <c r="L257" s="12"/>
      <c r="M257" s="14">
        <v>2032.6</v>
      </c>
      <c r="N257" s="18">
        <f t="shared" si="40"/>
        <v>33.876666666666665</v>
      </c>
      <c r="O257" s="14">
        <f t="shared" si="34"/>
        <v>0.56461111111111106</v>
      </c>
      <c r="Q257" s="14"/>
    </row>
    <row r="258" spans="1:18" ht="15" customHeight="1" x14ac:dyDescent="0.25">
      <c r="A258" s="152">
        <v>43741</v>
      </c>
      <c r="B258" s="108" t="s">
        <v>339</v>
      </c>
      <c r="C258" s="111">
        <v>0.30099999999999999</v>
      </c>
      <c r="D258" s="15">
        <v>100</v>
      </c>
      <c r="E258" s="107">
        <v>0</v>
      </c>
      <c r="F258" s="135" t="s">
        <v>198</v>
      </c>
      <c r="H258" s="15">
        <v>100</v>
      </c>
      <c r="I258" s="15">
        <v>0</v>
      </c>
      <c r="J258" s="15">
        <v>0</v>
      </c>
      <c r="K258" s="14"/>
      <c r="L258" s="12"/>
      <c r="M258" s="14">
        <v>2182</v>
      </c>
      <c r="N258" s="18">
        <f t="shared" si="40"/>
        <v>36.366666666666667</v>
      </c>
      <c r="O258" s="14">
        <f t="shared" si="34"/>
        <v>0.60611111111111116</v>
      </c>
      <c r="Q258" s="14"/>
    </row>
    <row r="259" spans="1:18" ht="15" customHeight="1" x14ac:dyDescent="0.25">
      <c r="A259" s="152">
        <v>43742</v>
      </c>
      <c r="B259" s="108" t="s">
        <v>340</v>
      </c>
      <c r="C259" s="111">
        <v>0.40500000000000003</v>
      </c>
      <c r="D259" s="15">
        <v>15</v>
      </c>
      <c r="E259" s="107">
        <v>0</v>
      </c>
      <c r="F259" s="135" t="s">
        <v>199</v>
      </c>
      <c r="G259" s="158" t="s">
        <v>513</v>
      </c>
      <c r="H259" s="15">
        <v>15</v>
      </c>
      <c r="I259" s="15">
        <v>85</v>
      </c>
      <c r="J259" s="15">
        <v>0</v>
      </c>
      <c r="K259" s="15">
        <v>927</v>
      </c>
      <c r="L259" s="18">
        <f>100*K259/1060</f>
        <v>87.452830188679243</v>
      </c>
      <c r="M259" s="14">
        <v>557.6</v>
      </c>
      <c r="N259" s="18">
        <f t="shared" si="40"/>
        <v>9.293333333333333</v>
      </c>
      <c r="O259" s="14">
        <f t="shared" si="34"/>
        <v>0.15488888888888888</v>
      </c>
      <c r="Q259" s="14"/>
    </row>
    <row r="260" spans="1:18" ht="15" customHeight="1" x14ac:dyDescent="0.25">
      <c r="A260" s="155">
        <v>43760</v>
      </c>
      <c r="B260" s="157" t="s">
        <v>341</v>
      </c>
      <c r="C260" s="153">
        <v>0.44900000000000001</v>
      </c>
      <c r="D260" s="148">
        <v>100</v>
      </c>
      <c r="E260" s="2" t="s">
        <v>222</v>
      </c>
      <c r="F260" s="150" t="s">
        <v>198</v>
      </c>
      <c r="G260" s="140" t="s">
        <v>514</v>
      </c>
      <c r="H260" s="15">
        <v>100</v>
      </c>
      <c r="I260" s="15">
        <v>0</v>
      </c>
      <c r="J260" s="15">
        <v>0</v>
      </c>
      <c r="K260" s="15">
        <v>831</v>
      </c>
      <c r="L260" s="18">
        <f>100*K260/1060</f>
        <v>78.396226415094333</v>
      </c>
      <c r="M260" s="14">
        <v>10171.68</v>
      </c>
      <c r="N260" s="18">
        <f t="shared" si="40"/>
        <v>169.52799999999999</v>
      </c>
      <c r="O260" s="14">
        <f t="shared" si="34"/>
        <v>2.8254666666666663</v>
      </c>
      <c r="Q260" s="14"/>
    </row>
    <row r="261" spans="1:18" ht="15" customHeight="1" x14ac:dyDescent="0.25">
      <c r="A261" s="155">
        <v>43761</v>
      </c>
      <c r="B261" s="157" t="s">
        <v>342</v>
      </c>
      <c r="C261" s="153">
        <v>0.33300000000000002</v>
      </c>
      <c r="D261" s="148">
        <v>100</v>
      </c>
      <c r="E261" s="150" t="s">
        <v>230</v>
      </c>
      <c r="F261" s="150" t="s">
        <v>199</v>
      </c>
      <c r="G261" s="151" t="s">
        <v>475</v>
      </c>
      <c r="H261" s="15">
        <v>100</v>
      </c>
      <c r="I261" s="15">
        <v>0</v>
      </c>
      <c r="J261" s="15">
        <v>0</v>
      </c>
      <c r="K261" s="15"/>
      <c r="L261" s="12"/>
      <c r="M261" s="14">
        <v>7907.4</v>
      </c>
      <c r="N261" s="18">
        <f t="shared" si="40"/>
        <v>131.79</v>
      </c>
      <c r="O261" s="14">
        <f t="shared" si="34"/>
        <v>2.1964999999999999</v>
      </c>
      <c r="Q261" s="14"/>
    </row>
    <row r="262" spans="1:18" ht="15" customHeight="1" x14ac:dyDescent="0.25">
      <c r="A262" s="155">
        <v>43762</v>
      </c>
      <c r="B262" s="157" t="s">
        <v>343</v>
      </c>
      <c r="C262" s="153">
        <v>0.224</v>
      </c>
      <c r="D262" s="148">
        <v>100</v>
      </c>
      <c r="E262" s="2" t="s">
        <v>222</v>
      </c>
      <c r="F262" s="150" t="s">
        <v>199</v>
      </c>
      <c r="G262" s="151" t="s">
        <v>475</v>
      </c>
      <c r="H262" s="15">
        <v>100</v>
      </c>
      <c r="I262" s="15">
        <v>0</v>
      </c>
      <c r="J262" s="15">
        <v>0</v>
      </c>
      <c r="M262" s="14">
        <v>5804.5</v>
      </c>
      <c r="N262" s="14">
        <f t="shared" si="40"/>
        <v>96.74166666666666</v>
      </c>
      <c r="O262" s="14">
        <f t="shared" si="34"/>
        <v>1.6123611111111109</v>
      </c>
      <c r="Q262" s="14"/>
    </row>
    <row r="263" spans="1:18" ht="15" customHeight="1" x14ac:dyDescent="0.25">
      <c r="A263" s="155">
        <v>43763</v>
      </c>
      <c r="B263" s="157" t="s">
        <v>344</v>
      </c>
      <c r="C263" s="153">
        <v>0.129</v>
      </c>
      <c r="D263" s="148">
        <v>100</v>
      </c>
      <c r="E263" s="150" t="s">
        <v>433</v>
      </c>
      <c r="F263" s="2" t="s">
        <v>19</v>
      </c>
      <c r="G263" s="151"/>
      <c r="H263" s="15">
        <v>100</v>
      </c>
      <c r="I263" s="15">
        <v>0</v>
      </c>
      <c r="J263" s="15">
        <v>0</v>
      </c>
      <c r="M263" s="14">
        <v>3069.9</v>
      </c>
      <c r="N263" s="18">
        <f t="shared" si="40"/>
        <v>51.164999999999999</v>
      </c>
      <c r="O263" s="14">
        <f t="shared" si="34"/>
        <v>0.85275000000000001</v>
      </c>
      <c r="Q263" s="14"/>
    </row>
    <row r="264" spans="1:18" s="12" customFormat="1" ht="15" customHeight="1" x14ac:dyDescent="0.25">
      <c r="A264" s="152">
        <v>43770</v>
      </c>
      <c r="B264" s="12" t="s">
        <v>345</v>
      </c>
      <c r="C264" s="111">
        <v>0.24</v>
      </c>
      <c r="D264" s="15">
        <v>0</v>
      </c>
      <c r="E264" s="107">
        <v>0</v>
      </c>
      <c r="F264" s="128" t="s">
        <v>13</v>
      </c>
      <c r="H264" s="15">
        <v>0</v>
      </c>
      <c r="I264" s="15">
        <v>100</v>
      </c>
      <c r="J264" s="15">
        <v>0</v>
      </c>
      <c r="K264" s="15"/>
      <c r="M264" s="14"/>
      <c r="N264" s="18"/>
      <c r="O264" s="14"/>
      <c r="P264" s="14"/>
      <c r="Q264" s="14"/>
      <c r="R264" s="14"/>
    </row>
    <row r="265" spans="1:18" ht="15" customHeight="1" x14ac:dyDescent="0.25">
      <c r="A265" s="152">
        <v>43771</v>
      </c>
      <c r="B265" s="12" t="s">
        <v>346</v>
      </c>
      <c r="C265" s="111">
        <v>0.33700000000000002</v>
      </c>
      <c r="D265" s="15">
        <v>97</v>
      </c>
      <c r="E265" s="135" t="s">
        <v>486</v>
      </c>
      <c r="F265" s="135" t="s">
        <v>216</v>
      </c>
      <c r="G265" s="167" t="s">
        <v>516</v>
      </c>
      <c r="H265" s="15">
        <v>97</v>
      </c>
      <c r="I265" s="15">
        <v>3</v>
      </c>
      <c r="J265" s="15">
        <v>0</v>
      </c>
      <c r="M265" s="14">
        <v>3396.2</v>
      </c>
      <c r="N265" s="18">
        <f t="shared" ref="N265:N266" si="41">M265/60</f>
        <v>56.603333333333332</v>
      </c>
      <c r="O265" s="14">
        <f t="shared" si="34"/>
        <v>0.94338888888888883</v>
      </c>
      <c r="Q265" s="111"/>
    </row>
    <row r="266" spans="1:18" ht="15" customHeight="1" x14ac:dyDescent="0.25">
      <c r="A266" s="152">
        <v>43772</v>
      </c>
      <c r="B266" s="12" t="s">
        <v>347</v>
      </c>
      <c r="C266" s="111">
        <v>0.438</v>
      </c>
      <c r="D266" s="15">
        <v>49</v>
      </c>
      <c r="E266" s="128" t="s">
        <v>222</v>
      </c>
      <c r="F266" s="135" t="s">
        <v>199</v>
      </c>
      <c r="G266" s="140" t="s">
        <v>523</v>
      </c>
      <c r="H266" s="15">
        <v>49</v>
      </c>
      <c r="I266" s="15">
        <v>51</v>
      </c>
      <c r="J266" s="15">
        <v>0</v>
      </c>
      <c r="K266" s="15">
        <v>744</v>
      </c>
      <c r="L266" s="18">
        <f>100*K266/1060</f>
        <v>70.188679245283012</v>
      </c>
      <c r="M266" s="14">
        <v>2975</v>
      </c>
      <c r="N266" s="18">
        <f t="shared" si="41"/>
        <v>49.583333333333336</v>
      </c>
      <c r="O266" s="14">
        <f t="shared" si="34"/>
        <v>0.82638888888888895</v>
      </c>
      <c r="Q266" s="111"/>
    </row>
    <row r="267" spans="1:18" ht="15" customHeight="1" x14ac:dyDescent="0.25">
      <c r="A267" s="155">
        <v>43790</v>
      </c>
      <c r="B267" s="157" t="s">
        <v>348</v>
      </c>
      <c r="C267" s="153">
        <v>0.36899999999999999</v>
      </c>
      <c r="D267" s="148">
        <v>0</v>
      </c>
      <c r="E267" s="148">
        <v>0</v>
      </c>
      <c r="F267" s="2" t="s">
        <v>13</v>
      </c>
      <c r="G267" s="151"/>
      <c r="H267" s="15">
        <v>0</v>
      </c>
      <c r="I267" s="15">
        <v>100</v>
      </c>
      <c r="J267" s="15">
        <v>0</v>
      </c>
      <c r="N267" s="18"/>
      <c r="O267" s="14"/>
      <c r="Q267" s="111"/>
    </row>
    <row r="268" spans="1:18" ht="15" customHeight="1" x14ac:dyDescent="0.25">
      <c r="A268" s="155">
        <v>43791</v>
      </c>
      <c r="B268" s="157" t="s">
        <v>349</v>
      </c>
      <c r="C268" s="153">
        <v>0.25600000000000001</v>
      </c>
      <c r="D268" s="148">
        <v>0</v>
      </c>
      <c r="E268" s="148">
        <v>0</v>
      </c>
      <c r="F268" s="2" t="s">
        <v>13</v>
      </c>
      <c r="G268" s="151"/>
      <c r="H268" s="15">
        <v>0</v>
      </c>
      <c r="I268" s="15">
        <v>100</v>
      </c>
      <c r="J268" s="15">
        <v>0</v>
      </c>
      <c r="N268" s="18"/>
      <c r="O268" s="14"/>
      <c r="Q268" s="111"/>
    </row>
    <row r="269" spans="1:18" ht="15" customHeight="1" x14ac:dyDescent="0.25">
      <c r="A269" s="155">
        <v>43792</v>
      </c>
      <c r="B269" s="157" t="s">
        <v>350</v>
      </c>
      <c r="C269" s="153">
        <v>0.158</v>
      </c>
      <c r="D269" s="148">
        <v>0</v>
      </c>
      <c r="E269" s="148">
        <v>0</v>
      </c>
      <c r="F269" s="2" t="s">
        <v>13</v>
      </c>
      <c r="G269" s="151"/>
      <c r="H269" s="15">
        <v>0</v>
      </c>
      <c r="I269" s="15">
        <v>100</v>
      </c>
      <c r="J269" s="15">
        <v>0</v>
      </c>
      <c r="N269" s="18"/>
      <c r="O269" s="14"/>
      <c r="Q269" s="111"/>
    </row>
    <row r="270" spans="1:18" ht="15" customHeight="1" x14ac:dyDescent="0.25">
      <c r="A270" s="155">
        <v>43793</v>
      </c>
      <c r="B270" s="157" t="s">
        <v>351</v>
      </c>
      <c r="C270" s="153">
        <v>7.9000000000000001E-2</v>
      </c>
      <c r="D270" s="148">
        <v>0</v>
      </c>
      <c r="E270" s="148">
        <v>0</v>
      </c>
      <c r="F270" s="2" t="s">
        <v>13</v>
      </c>
      <c r="G270" s="151"/>
      <c r="H270" s="15">
        <v>0</v>
      </c>
      <c r="I270" s="15">
        <v>100</v>
      </c>
      <c r="J270" s="15">
        <v>0</v>
      </c>
      <c r="N270" s="18"/>
      <c r="O270" s="14"/>
      <c r="Q270" s="111"/>
    </row>
    <row r="271" spans="1:18" ht="15" customHeight="1" x14ac:dyDescent="0.25">
      <c r="A271" s="152">
        <v>43799</v>
      </c>
      <c r="B271" s="12" t="s">
        <v>352</v>
      </c>
      <c r="C271" s="111">
        <v>0.17799999999999999</v>
      </c>
      <c r="D271" s="15">
        <v>0</v>
      </c>
      <c r="E271" s="107">
        <v>0</v>
      </c>
      <c r="F271" s="128" t="s">
        <v>13</v>
      </c>
      <c r="G271" s="12"/>
      <c r="H271" s="15">
        <v>0</v>
      </c>
      <c r="I271" s="15">
        <v>100</v>
      </c>
      <c r="J271" s="15">
        <v>0</v>
      </c>
      <c r="K271" s="15"/>
      <c r="N271" s="18"/>
      <c r="O271" s="14"/>
      <c r="Q271" s="111"/>
    </row>
    <row r="272" spans="1:18" ht="15" customHeight="1" x14ac:dyDescent="0.25">
      <c r="A272" s="152">
        <v>43800</v>
      </c>
      <c r="B272" s="12" t="s">
        <v>353</v>
      </c>
      <c r="C272" s="111">
        <v>0.26500000000000001</v>
      </c>
      <c r="D272" s="15">
        <v>100</v>
      </c>
      <c r="E272" s="135" t="s">
        <v>279</v>
      </c>
      <c r="F272" s="135" t="s">
        <v>19</v>
      </c>
      <c r="G272" s="12"/>
      <c r="H272" s="15">
        <v>100</v>
      </c>
      <c r="I272" s="15">
        <v>0</v>
      </c>
      <c r="J272" s="15">
        <v>0</v>
      </c>
      <c r="M272" s="14">
        <v>4132.8</v>
      </c>
      <c r="N272" s="18">
        <f t="shared" ref="N272" si="42">M272/60</f>
        <v>68.88000000000001</v>
      </c>
      <c r="O272" s="14">
        <f t="shared" si="34"/>
        <v>1.1480000000000001</v>
      </c>
      <c r="Q272" s="111"/>
    </row>
    <row r="273" spans="1:17" ht="15" customHeight="1" x14ac:dyDescent="0.25">
      <c r="A273" s="152">
        <v>43801</v>
      </c>
      <c r="B273" s="12" t="s">
        <v>354</v>
      </c>
      <c r="C273" s="111">
        <v>0.35899999999999999</v>
      </c>
      <c r="D273" s="15">
        <v>0</v>
      </c>
      <c r="E273" s="107">
        <v>0</v>
      </c>
      <c r="F273" s="128" t="s">
        <v>13</v>
      </c>
      <c r="G273" s="12"/>
      <c r="H273" s="15">
        <v>0</v>
      </c>
      <c r="I273" s="15">
        <v>100</v>
      </c>
      <c r="J273" s="15">
        <v>0</v>
      </c>
      <c r="N273" s="18"/>
      <c r="O273" s="14"/>
      <c r="Q273" s="111"/>
    </row>
    <row r="274" spans="1:17" ht="15" customHeight="1" x14ac:dyDescent="0.25">
      <c r="A274" s="155">
        <v>43819</v>
      </c>
      <c r="B274" s="157" t="s">
        <v>355</v>
      </c>
      <c r="C274" s="153">
        <v>0.40600000000000003</v>
      </c>
      <c r="D274" s="148">
        <v>22</v>
      </c>
      <c r="E274" s="2" t="s">
        <v>222</v>
      </c>
      <c r="F274" s="150" t="s">
        <v>198</v>
      </c>
      <c r="G274" s="166" t="s">
        <v>534</v>
      </c>
      <c r="H274" s="15">
        <v>22</v>
      </c>
      <c r="I274" s="15">
        <v>78</v>
      </c>
      <c r="J274" s="15">
        <v>0</v>
      </c>
      <c r="K274" s="15">
        <v>819</v>
      </c>
      <c r="L274" s="18">
        <f>100*K274/1060</f>
        <v>77.264150943396231</v>
      </c>
      <c r="M274" s="14">
        <v>2490.0700000000002</v>
      </c>
      <c r="N274" s="18">
        <f t="shared" ref="N274" si="43">M274/60</f>
        <v>41.50116666666667</v>
      </c>
      <c r="O274" s="14">
        <f t="shared" si="34"/>
        <v>0.69168611111111111</v>
      </c>
      <c r="Q274" s="111"/>
    </row>
    <row r="275" spans="1:17" ht="15" customHeight="1" x14ac:dyDescent="0.25">
      <c r="A275" s="155">
        <v>43820</v>
      </c>
      <c r="B275" s="157" t="s">
        <v>356</v>
      </c>
      <c r="C275" s="153">
        <v>0.29199999999999998</v>
      </c>
      <c r="D275" s="148">
        <v>0</v>
      </c>
      <c r="E275" s="149">
        <v>0</v>
      </c>
      <c r="F275" s="2" t="s">
        <v>13</v>
      </c>
      <c r="G275" s="157"/>
      <c r="H275" s="15">
        <v>0</v>
      </c>
      <c r="I275" s="15">
        <v>100</v>
      </c>
      <c r="J275" s="15">
        <v>0</v>
      </c>
      <c r="K275" s="15"/>
      <c r="L275" s="12"/>
      <c r="N275" s="18"/>
      <c r="O275" s="14"/>
      <c r="Q275" s="111"/>
    </row>
    <row r="276" spans="1:17" ht="15" customHeight="1" x14ac:dyDescent="0.25">
      <c r="A276" s="155">
        <v>43821</v>
      </c>
      <c r="B276" s="157" t="s">
        <v>357</v>
      </c>
      <c r="C276" s="153">
        <v>0.19</v>
      </c>
      <c r="D276" s="148">
        <v>0</v>
      </c>
      <c r="E276" s="148">
        <v>0</v>
      </c>
      <c r="F276" s="2" t="s">
        <v>13</v>
      </c>
      <c r="G276" s="151"/>
      <c r="H276" s="15">
        <v>0</v>
      </c>
      <c r="I276" s="15">
        <v>100</v>
      </c>
      <c r="J276" s="15">
        <v>0</v>
      </c>
      <c r="K276" s="15"/>
      <c r="L276" s="12"/>
      <c r="N276" s="18"/>
      <c r="O276" s="14"/>
      <c r="Q276" s="111"/>
    </row>
    <row r="277" spans="1:17" ht="15" customHeight="1" x14ac:dyDescent="0.25">
      <c r="A277" s="155">
        <v>43822</v>
      </c>
      <c r="B277" s="157" t="s">
        <v>120</v>
      </c>
      <c r="C277" s="153">
        <v>0.106</v>
      </c>
      <c r="D277" s="148">
        <v>0</v>
      </c>
      <c r="E277" s="148">
        <v>0</v>
      </c>
      <c r="F277" s="2" t="s">
        <v>13</v>
      </c>
      <c r="G277" s="151"/>
      <c r="H277" s="15">
        <v>0</v>
      </c>
      <c r="I277" s="15">
        <v>100</v>
      </c>
      <c r="J277" s="15">
        <v>0</v>
      </c>
      <c r="K277" s="15"/>
      <c r="L277" s="12"/>
      <c r="N277" s="18"/>
      <c r="O277" s="14"/>
      <c r="Q277" s="14"/>
    </row>
    <row r="278" spans="1:17" ht="15" customHeight="1" x14ac:dyDescent="0.25">
      <c r="A278" s="152">
        <v>43828</v>
      </c>
      <c r="B278" s="12" t="s">
        <v>533</v>
      </c>
      <c r="C278" s="111">
        <v>0.12</v>
      </c>
      <c r="D278" s="15">
        <v>0</v>
      </c>
      <c r="E278" s="107">
        <v>0</v>
      </c>
      <c r="F278" s="128" t="s">
        <v>476</v>
      </c>
      <c r="H278" s="15">
        <v>0</v>
      </c>
      <c r="I278" s="15">
        <v>100</v>
      </c>
      <c r="J278" s="15">
        <v>0</v>
      </c>
      <c r="K278" s="15"/>
      <c r="L278" s="12"/>
      <c r="N278" s="18"/>
      <c r="O278" s="14"/>
      <c r="Q278" s="14"/>
    </row>
    <row r="279" spans="1:17" ht="15" customHeight="1" x14ac:dyDescent="0.25">
      <c r="A279" s="152">
        <v>43829</v>
      </c>
      <c r="B279" s="12" t="s">
        <v>530</v>
      </c>
      <c r="C279" s="111">
        <v>0.19400000000000001</v>
      </c>
      <c r="D279" s="15">
        <v>0</v>
      </c>
      <c r="E279" s="107">
        <v>0</v>
      </c>
      <c r="F279" s="128" t="s">
        <v>476</v>
      </c>
      <c r="H279" s="15">
        <v>0</v>
      </c>
      <c r="I279" s="15">
        <v>100</v>
      </c>
      <c r="J279" s="15">
        <v>0</v>
      </c>
      <c r="K279" s="15"/>
      <c r="L279" s="12"/>
      <c r="N279" s="18"/>
      <c r="O279" s="14"/>
      <c r="Q279" s="14"/>
    </row>
    <row r="280" spans="1:17" ht="15" customHeight="1" x14ac:dyDescent="0.25">
      <c r="A280" s="152">
        <v>43830</v>
      </c>
      <c r="B280" s="12" t="s">
        <v>531</v>
      </c>
      <c r="C280" s="111">
        <v>0.27900000000000003</v>
      </c>
      <c r="D280" s="15">
        <v>100</v>
      </c>
      <c r="E280" s="107">
        <v>0</v>
      </c>
      <c r="F280" s="135" t="s">
        <v>19</v>
      </c>
      <c r="H280" s="15">
        <v>100</v>
      </c>
      <c r="I280" s="15">
        <v>0</v>
      </c>
      <c r="J280" s="15">
        <v>0</v>
      </c>
      <c r="K280" s="15"/>
      <c r="L280" s="12"/>
      <c r="M280" s="14">
        <v>5838.16</v>
      </c>
      <c r="N280" s="111">
        <f t="shared" ref="N280" si="44">M280/60</f>
        <v>97.302666666666667</v>
      </c>
      <c r="O280" s="14">
        <f t="shared" si="34"/>
        <v>1.6217111111111111</v>
      </c>
      <c r="Q280" s="111"/>
    </row>
    <row r="281" spans="1:17" ht="15" customHeight="1" x14ac:dyDescent="0.25">
      <c r="A281" s="205">
        <v>2020</v>
      </c>
      <c r="B281" s="205"/>
      <c r="C281" s="205"/>
      <c r="D281" s="205"/>
      <c r="E281" s="205"/>
      <c r="F281" s="205"/>
      <c r="G281" s="205"/>
      <c r="N281" s="111"/>
      <c r="O281" s="14"/>
      <c r="Q281" s="111"/>
    </row>
    <row r="282" spans="1:17" ht="15" customHeight="1" x14ac:dyDescent="0.25">
      <c r="A282" s="152">
        <v>43831</v>
      </c>
      <c r="B282" s="12" t="s">
        <v>532</v>
      </c>
      <c r="C282" s="111">
        <v>0.371</v>
      </c>
      <c r="D282" s="15">
        <v>0</v>
      </c>
      <c r="E282" s="107">
        <v>0</v>
      </c>
      <c r="F282" s="128" t="s">
        <v>476</v>
      </c>
      <c r="G282" s="125"/>
      <c r="H282" s="15">
        <v>0</v>
      </c>
      <c r="I282" s="15">
        <v>100</v>
      </c>
      <c r="J282" s="15">
        <v>0</v>
      </c>
      <c r="N282" s="111"/>
      <c r="O282" s="14"/>
      <c r="Q282" s="111"/>
    </row>
    <row r="283" spans="1:17" ht="15" customHeight="1" x14ac:dyDescent="0.25">
      <c r="A283" s="155">
        <v>43848</v>
      </c>
      <c r="B283" s="157" t="s">
        <v>358</v>
      </c>
      <c r="C283" s="153">
        <v>0.44500000000000001</v>
      </c>
      <c r="D283" s="148">
        <v>0</v>
      </c>
      <c r="E283" s="148">
        <v>0</v>
      </c>
      <c r="F283" s="2" t="s">
        <v>13</v>
      </c>
      <c r="G283" s="140" t="s">
        <v>359</v>
      </c>
      <c r="H283" s="15">
        <v>0</v>
      </c>
      <c r="I283" s="15">
        <v>100</v>
      </c>
      <c r="J283" s="15">
        <v>0</v>
      </c>
      <c r="N283" s="18"/>
      <c r="O283" s="14"/>
      <c r="Q283" s="111"/>
    </row>
    <row r="284" spans="1:17" ht="15" customHeight="1" x14ac:dyDescent="0.25">
      <c r="A284" s="155">
        <v>43849</v>
      </c>
      <c r="B284" s="157" t="s">
        <v>360</v>
      </c>
      <c r="C284" s="153">
        <v>0.33</v>
      </c>
      <c r="D284" s="148">
        <v>0</v>
      </c>
      <c r="E284" s="148">
        <v>0</v>
      </c>
      <c r="F284" s="2" t="s">
        <v>13</v>
      </c>
      <c r="G284" s="151"/>
      <c r="H284" s="15">
        <v>0</v>
      </c>
      <c r="I284" s="15">
        <v>100</v>
      </c>
      <c r="J284" s="15">
        <v>0</v>
      </c>
      <c r="N284" s="18"/>
      <c r="O284" s="14"/>
      <c r="Q284" s="111"/>
    </row>
    <row r="285" spans="1:17" ht="15" customHeight="1" x14ac:dyDescent="0.25">
      <c r="A285" s="155">
        <v>43850</v>
      </c>
      <c r="B285" s="157" t="s">
        <v>361</v>
      </c>
      <c r="C285" s="153">
        <v>0.22700000000000001</v>
      </c>
      <c r="D285" s="148">
        <v>0</v>
      </c>
      <c r="E285" s="148">
        <v>0</v>
      </c>
      <c r="F285" s="2" t="s">
        <v>13</v>
      </c>
      <c r="G285" s="151"/>
      <c r="H285" s="15">
        <v>0</v>
      </c>
      <c r="I285" s="15">
        <v>100</v>
      </c>
      <c r="J285" s="15">
        <v>0</v>
      </c>
      <c r="N285" s="18"/>
      <c r="O285" s="14"/>
      <c r="Q285" s="111"/>
    </row>
    <row r="286" spans="1:17" ht="15" customHeight="1" x14ac:dyDescent="0.25">
      <c r="A286" s="155">
        <v>43851</v>
      </c>
      <c r="B286" s="157" t="s">
        <v>362</v>
      </c>
      <c r="C286" s="153">
        <v>0.14000000000000001</v>
      </c>
      <c r="D286" s="148">
        <v>0</v>
      </c>
      <c r="E286" s="148">
        <v>0</v>
      </c>
      <c r="F286" s="2" t="s">
        <v>13</v>
      </c>
      <c r="G286" s="151"/>
      <c r="H286" s="15">
        <v>0</v>
      </c>
      <c r="I286" s="15">
        <v>100</v>
      </c>
      <c r="J286" s="15">
        <v>0</v>
      </c>
      <c r="N286" s="18"/>
      <c r="O286" s="14"/>
      <c r="Q286" s="111"/>
    </row>
    <row r="287" spans="1:17" ht="15" customHeight="1" x14ac:dyDescent="0.25">
      <c r="A287" s="152">
        <v>43858</v>
      </c>
      <c r="B287" s="12" t="s">
        <v>363</v>
      </c>
      <c r="C287" s="111">
        <v>0.13200000000000001</v>
      </c>
      <c r="D287" s="15">
        <v>50</v>
      </c>
      <c r="E287" s="107">
        <v>0</v>
      </c>
      <c r="F287" s="135" t="s">
        <v>199</v>
      </c>
      <c r="G287" s="135" t="s">
        <v>540</v>
      </c>
      <c r="H287" s="15">
        <v>50</v>
      </c>
      <c r="I287" s="15">
        <v>50</v>
      </c>
      <c r="J287" s="15">
        <v>0</v>
      </c>
      <c r="M287" s="14">
        <v>1219.8499999999999</v>
      </c>
      <c r="N287" s="18">
        <f t="shared" ref="N287" si="45">M287/60</f>
        <v>20.330833333333331</v>
      </c>
      <c r="O287" s="14">
        <f t="shared" si="34"/>
        <v>0.33884722222222219</v>
      </c>
      <c r="Q287" s="111"/>
    </row>
    <row r="288" spans="1:17" ht="15" customHeight="1" x14ac:dyDescent="0.25">
      <c r="A288" s="152">
        <v>43859</v>
      </c>
      <c r="B288" s="12" t="s">
        <v>364</v>
      </c>
      <c r="C288" s="111">
        <v>0.20599999999999999</v>
      </c>
      <c r="D288" s="15">
        <v>0</v>
      </c>
      <c r="E288" s="135">
        <v>0</v>
      </c>
      <c r="F288" s="135" t="s">
        <v>13</v>
      </c>
      <c r="G288" s="12"/>
      <c r="H288" s="15">
        <v>0</v>
      </c>
      <c r="I288" s="15">
        <v>100</v>
      </c>
      <c r="J288" s="15">
        <v>0</v>
      </c>
      <c r="N288" s="18"/>
      <c r="O288" s="14"/>
      <c r="Q288" s="111"/>
    </row>
    <row r="289" spans="1:17" ht="15" customHeight="1" x14ac:dyDescent="0.25">
      <c r="A289" s="152">
        <v>43860</v>
      </c>
      <c r="B289" s="12" t="s">
        <v>365</v>
      </c>
      <c r="C289" s="111">
        <v>0.29099999999999998</v>
      </c>
      <c r="D289" s="15">
        <v>100</v>
      </c>
      <c r="E289" s="135" t="s">
        <v>278</v>
      </c>
      <c r="F289" s="135" t="s">
        <v>19</v>
      </c>
      <c r="H289" s="15">
        <v>100</v>
      </c>
      <c r="I289" s="15">
        <v>0</v>
      </c>
      <c r="J289" s="15">
        <v>0</v>
      </c>
      <c r="M289" s="14">
        <v>6560.29</v>
      </c>
      <c r="N289" s="18">
        <f t="shared" ref="N289" si="46">M289/60</f>
        <v>109.33816666666667</v>
      </c>
      <c r="O289" s="14">
        <f t="shared" si="34"/>
        <v>1.8223027777777778</v>
      </c>
      <c r="Q289" s="111"/>
    </row>
    <row r="290" spans="1:17" ht="15" customHeight="1" x14ac:dyDescent="0.25">
      <c r="A290" s="152">
        <v>43861</v>
      </c>
      <c r="B290" s="12" t="s">
        <v>366</v>
      </c>
      <c r="C290" s="111">
        <v>0.38300000000000001</v>
      </c>
      <c r="D290" s="15">
        <v>100</v>
      </c>
      <c r="E290" s="135" t="s">
        <v>209</v>
      </c>
      <c r="F290" s="135" t="s">
        <v>199</v>
      </c>
      <c r="G290" s="166" t="s">
        <v>541</v>
      </c>
      <c r="H290" s="15">
        <v>100</v>
      </c>
      <c r="I290" s="15">
        <v>0</v>
      </c>
      <c r="J290" s="15">
        <v>0</v>
      </c>
      <c r="K290" s="15">
        <v>777</v>
      </c>
      <c r="L290" s="18">
        <f>100*K290/1060</f>
        <v>73.301886792452834</v>
      </c>
      <c r="M290" s="14">
        <v>8802.2379999999994</v>
      </c>
      <c r="N290" s="18">
        <f t="shared" ref="N290" si="47">M290/60</f>
        <v>146.70396666666664</v>
      </c>
      <c r="O290" s="14">
        <f t="shared" si="34"/>
        <v>2.4450661111111107</v>
      </c>
      <c r="Q290" s="111"/>
    </row>
    <row r="291" spans="1:17" ht="15" customHeight="1" x14ac:dyDescent="0.25">
      <c r="A291" s="155">
        <v>43878</v>
      </c>
      <c r="B291" s="157" t="s">
        <v>367</v>
      </c>
      <c r="C291" s="153">
        <v>0.374</v>
      </c>
      <c r="D291" s="132">
        <v>100</v>
      </c>
      <c r="E291" s="2">
        <v>0</v>
      </c>
      <c r="F291" s="150" t="s">
        <v>198</v>
      </c>
      <c r="G291" s="151"/>
      <c r="H291" s="15">
        <v>100</v>
      </c>
      <c r="I291" s="15">
        <v>0</v>
      </c>
      <c r="J291" s="15">
        <v>0</v>
      </c>
      <c r="M291" s="14">
        <v>4577.3999999999996</v>
      </c>
      <c r="N291" s="18">
        <f t="shared" ref="N291:N298" si="48">M291/60</f>
        <v>76.289999999999992</v>
      </c>
      <c r="O291" s="14">
        <f t="shared" si="34"/>
        <v>1.2714999999999999</v>
      </c>
      <c r="Q291" s="111"/>
    </row>
    <row r="292" spans="1:17" ht="15" customHeight="1" x14ac:dyDescent="0.25">
      <c r="A292" s="155">
        <v>43879</v>
      </c>
      <c r="B292" s="157" t="s">
        <v>368</v>
      </c>
      <c r="C292" s="153">
        <v>0.27100000000000002</v>
      </c>
      <c r="D292" s="132">
        <v>100</v>
      </c>
      <c r="E292" s="2">
        <v>0</v>
      </c>
      <c r="F292" s="2" t="s">
        <v>19</v>
      </c>
      <c r="G292" s="151"/>
      <c r="H292" s="15">
        <v>100</v>
      </c>
      <c r="I292" s="15">
        <v>0</v>
      </c>
      <c r="J292" s="15">
        <v>0</v>
      </c>
      <c r="M292" s="14">
        <v>2016.18</v>
      </c>
      <c r="N292" s="18">
        <f t="shared" si="48"/>
        <v>33.603000000000002</v>
      </c>
      <c r="O292" s="14">
        <f t="shared" si="34"/>
        <v>0.56005000000000005</v>
      </c>
      <c r="Q292" s="14"/>
    </row>
    <row r="293" spans="1:17" ht="15" customHeight="1" x14ac:dyDescent="0.25">
      <c r="A293" s="152">
        <v>43887</v>
      </c>
      <c r="B293" s="12" t="s">
        <v>369</v>
      </c>
      <c r="C293" s="111">
        <v>8.3000000000000004E-2</v>
      </c>
      <c r="D293" s="15">
        <v>60</v>
      </c>
      <c r="E293" s="107">
        <v>0</v>
      </c>
      <c r="F293" s="135" t="s">
        <v>199</v>
      </c>
      <c r="G293" s="29" t="s">
        <v>543</v>
      </c>
      <c r="H293" s="15">
        <v>60</v>
      </c>
      <c r="I293" s="15">
        <v>40</v>
      </c>
      <c r="J293" s="15">
        <v>0</v>
      </c>
      <c r="M293" s="14">
        <v>672.6</v>
      </c>
      <c r="N293" s="18">
        <f t="shared" si="48"/>
        <v>11.21</v>
      </c>
      <c r="O293" s="14">
        <f t="shared" si="34"/>
        <v>0.18683333333333335</v>
      </c>
      <c r="Q293" s="14"/>
    </row>
    <row r="294" spans="1:17" ht="15" customHeight="1" x14ac:dyDescent="0.25">
      <c r="A294" s="152">
        <v>43888</v>
      </c>
      <c r="B294" s="12" t="s">
        <v>370</v>
      </c>
      <c r="C294" s="111">
        <v>0.14499999999999999</v>
      </c>
      <c r="D294" s="15">
        <v>44</v>
      </c>
      <c r="E294" s="107">
        <v>0</v>
      </c>
      <c r="F294" s="135" t="s">
        <v>199</v>
      </c>
      <c r="G294" s="29" t="s">
        <v>543</v>
      </c>
      <c r="H294" s="15">
        <v>44</v>
      </c>
      <c r="I294" s="15">
        <v>56</v>
      </c>
      <c r="J294" s="15">
        <v>0</v>
      </c>
      <c r="M294" s="14">
        <v>1485.66</v>
      </c>
      <c r="N294" s="18">
        <f t="shared" si="48"/>
        <v>24.761000000000003</v>
      </c>
      <c r="O294" s="14">
        <f t="shared" ref="O294:O354" si="49">N294/60</f>
        <v>0.4126833333333334</v>
      </c>
      <c r="Q294" s="14"/>
    </row>
    <row r="295" spans="1:17" ht="15" customHeight="1" x14ac:dyDescent="0.25">
      <c r="A295" s="152">
        <v>43889</v>
      </c>
      <c r="B295" s="12" t="s">
        <v>129</v>
      </c>
      <c r="C295" s="111">
        <v>0.221</v>
      </c>
      <c r="D295" s="15">
        <v>7</v>
      </c>
      <c r="E295" s="107">
        <v>0</v>
      </c>
      <c r="F295" s="135" t="s">
        <v>199</v>
      </c>
      <c r="G295" s="29" t="s">
        <v>225</v>
      </c>
      <c r="H295" s="15">
        <v>7</v>
      </c>
      <c r="I295" s="15">
        <v>93</v>
      </c>
      <c r="J295" s="15">
        <v>0</v>
      </c>
      <c r="M295" s="14">
        <v>440.1</v>
      </c>
      <c r="N295" s="18">
        <f t="shared" si="48"/>
        <v>7.335</v>
      </c>
      <c r="O295" s="14">
        <f t="shared" si="49"/>
        <v>0.12225</v>
      </c>
      <c r="Q295" s="14"/>
    </row>
    <row r="296" spans="1:17" ht="15" customHeight="1" x14ac:dyDescent="0.25">
      <c r="A296" s="152">
        <v>43890</v>
      </c>
      <c r="B296" s="12" t="s">
        <v>371</v>
      </c>
      <c r="C296" s="111">
        <v>0.308</v>
      </c>
      <c r="D296" s="15">
        <v>24</v>
      </c>
      <c r="E296" s="107">
        <v>0</v>
      </c>
      <c r="F296" s="135" t="s">
        <v>198</v>
      </c>
      <c r="G296" s="29" t="s">
        <v>544</v>
      </c>
      <c r="H296" s="15">
        <v>24</v>
      </c>
      <c r="I296" s="15">
        <v>76</v>
      </c>
      <c r="J296" s="15">
        <v>0</v>
      </c>
      <c r="M296" s="14">
        <v>2035.7</v>
      </c>
      <c r="N296" s="18">
        <f t="shared" si="48"/>
        <v>33.928333333333335</v>
      </c>
      <c r="O296" s="14">
        <f t="shared" si="49"/>
        <v>0.56547222222222226</v>
      </c>
      <c r="Q296" s="14"/>
    </row>
    <row r="297" spans="1:17" ht="15" customHeight="1" x14ac:dyDescent="0.25">
      <c r="A297" s="152">
        <v>43891</v>
      </c>
      <c r="B297" s="12" t="s">
        <v>372</v>
      </c>
      <c r="C297" s="111">
        <v>0.40500000000000003</v>
      </c>
      <c r="D297" s="15">
        <v>96</v>
      </c>
      <c r="E297" s="128" t="s">
        <v>235</v>
      </c>
      <c r="F297" s="128" t="s">
        <v>19</v>
      </c>
      <c r="G297" s="29" t="s">
        <v>545</v>
      </c>
      <c r="H297" s="15">
        <v>96</v>
      </c>
      <c r="I297" s="15">
        <v>0</v>
      </c>
      <c r="J297" s="15">
        <v>4</v>
      </c>
      <c r="K297" s="124">
        <v>854</v>
      </c>
      <c r="L297" s="18">
        <f>100*K297/1060</f>
        <v>80.566037735849051</v>
      </c>
      <c r="M297" s="14">
        <v>7951.86</v>
      </c>
      <c r="N297" s="18">
        <f t="shared" si="48"/>
        <v>132.53100000000001</v>
      </c>
      <c r="O297" s="14">
        <f t="shared" si="49"/>
        <v>2.20885</v>
      </c>
      <c r="Q297" s="14"/>
    </row>
    <row r="298" spans="1:17" ht="15" customHeight="1" x14ac:dyDescent="0.25">
      <c r="A298" s="155">
        <v>43907</v>
      </c>
      <c r="B298" s="157" t="s">
        <v>373</v>
      </c>
      <c r="C298" s="153">
        <v>0.42599999999999999</v>
      </c>
      <c r="D298" s="148">
        <v>100</v>
      </c>
      <c r="E298" s="150" t="s">
        <v>230</v>
      </c>
      <c r="F298" s="150" t="s">
        <v>199</v>
      </c>
      <c r="G298" s="151" t="s">
        <v>547</v>
      </c>
      <c r="H298" s="15">
        <v>100</v>
      </c>
      <c r="I298" s="15">
        <v>0</v>
      </c>
      <c r="J298" s="15">
        <v>0</v>
      </c>
      <c r="K298" s="124">
        <v>922</v>
      </c>
      <c r="L298" s="18">
        <f>100*K298/1060</f>
        <v>86.981132075471692</v>
      </c>
      <c r="M298" s="14">
        <v>2679.73</v>
      </c>
      <c r="N298" s="18">
        <f t="shared" si="48"/>
        <v>44.662166666666664</v>
      </c>
      <c r="O298" s="14">
        <f t="shared" si="49"/>
        <v>0.74436944444444442</v>
      </c>
      <c r="Q298" s="14"/>
    </row>
    <row r="299" spans="1:17" ht="15" customHeight="1" x14ac:dyDescent="0.25">
      <c r="A299" s="155">
        <v>43908</v>
      </c>
      <c r="B299" s="157" t="s">
        <v>374</v>
      </c>
      <c r="C299" s="153">
        <v>0.32300000000000001</v>
      </c>
      <c r="D299" s="148">
        <v>0</v>
      </c>
      <c r="E299" s="150" t="s">
        <v>230</v>
      </c>
      <c r="F299" s="150" t="s">
        <v>198</v>
      </c>
      <c r="G299" s="154" t="s">
        <v>546</v>
      </c>
      <c r="H299" s="15">
        <v>0</v>
      </c>
      <c r="I299" s="15">
        <v>0</v>
      </c>
      <c r="J299" s="15">
        <v>100</v>
      </c>
      <c r="N299" s="18"/>
      <c r="O299" s="14"/>
      <c r="Q299" s="14"/>
    </row>
    <row r="300" spans="1:17" ht="15" customHeight="1" x14ac:dyDescent="0.25">
      <c r="A300" s="152">
        <v>43917</v>
      </c>
      <c r="B300" s="12" t="s">
        <v>375</v>
      </c>
      <c r="C300" s="111">
        <v>9.8000000000000004E-2</v>
      </c>
      <c r="D300" s="15">
        <v>100</v>
      </c>
      <c r="E300" s="135" t="s">
        <v>222</v>
      </c>
      <c r="F300" s="128" t="s">
        <v>19</v>
      </c>
      <c r="H300" s="15">
        <v>100</v>
      </c>
      <c r="I300" s="15">
        <v>0</v>
      </c>
      <c r="J300" s="15">
        <v>0</v>
      </c>
      <c r="M300" s="14">
        <v>1982.2</v>
      </c>
      <c r="N300" s="18">
        <f t="shared" ref="N300" si="50">M300/60</f>
        <v>33.036666666666669</v>
      </c>
      <c r="O300" s="14">
        <f t="shared" si="49"/>
        <v>0.55061111111111116</v>
      </c>
      <c r="Q300" s="14"/>
    </row>
    <row r="301" spans="1:17" ht="15" customHeight="1" x14ac:dyDescent="0.25">
      <c r="A301" s="152">
        <v>43918</v>
      </c>
      <c r="B301" s="12" t="s">
        <v>376</v>
      </c>
      <c r="C301" s="111">
        <v>0.16500000000000001</v>
      </c>
      <c r="D301" s="15">
        <v>0</v>
      </c>
      <c r="E301" s="135" t="s">
        <v>230</v>
      </c>
      <c r="F301" s="128" t="s">
        <v>13</v>
      </c>
      <c r="H301" s="15">
        <v>0</v>
      </c>
      <c r="I301" s="15">
        <v>100</v>
      </c>
      <c r="J301" s="15">
        <v>0</v>
      </c>
      <c r="N301" s="18"/>
      <c r="O301" s="14"/>
      <c r="Q301" s="14"/>
    </row>
    <row r="302" spans="1:17" ht="15" customHeight="1" x14ac:dyDescent="0.25">
      <c r="A302" s="152">
        <v>43919</v>
      </c>
      <c r="B302" s="12" t="s">
        <v>377</v>
      </c>
      <c r="C302" s="111">
        <v>0.247</v>
      </c>
      <c r="D302" s="15">
        <v>100</v>
      </c>
      <c r="E302" s="135" t="s">
        <v>481</v>
      </c>
      <c r="F302" s="128" t="s">
        <v>19</v>
      </c>
      <c r="G302" s="12"/>
      <c r="H302" s="15">
        <v>100</v>
      </c>
      <c r="I302" s="15">
        <v>0</v>
      </c>
      <c r="J302" s="15">
        <v>0</v>
      </c>
      <c r="K302" s="15"/>
      <c r="L302" s="12"/>
      <c r="M302" s="14">
        <v>5911.18</v>
      </c>
      <c r="N302" s="18">
        <f t="shared" ref="N302" si="51">M302/60</f>
        <v>98.519666666666666</v>
      </c>
      <c r="O302" s="14">
        <f t="shared" si="49"/>
        <v>1.6419944444444445</v>
      </c>
      <c r="Q302" s="14"/>
    </row>
    <row r="303" spans="1:17" ht="15" customHeight="1" x14ac:dyDescent="0.25">
      <c r="A303" s="152">
        <v>43920</v>
      </c>
      <c r="B303" s="12" t="s">
        <v>378</v>
      </c>
      <c r="C303" s="111">
        <v>0.34100000000000003</v>
      </c>
      <c r="D303" s="15">
        <v>0</v>
      </c>
      <c r="E303" s="135" t="s">
        <v>230</v>
      </c>
      <c r="F303" s="128" t="s">
        <v>13</v>
      </c>
      <c r="H303" s="15">
        <v>0</v>
      </c>
      <c r="I303" s="15">
        <v>100</v>
      </c>
      <c r="J303" s="15">
        <v>0</v>
      </c>
      <c r="N303" s="18"/>
      <c r="O303" s="14"/>
      <c r="Q303" s="14"/>
    </row>
    <row r="304" spans="1:17" ht="15" customHeight="1" x14ac:dyDescent="0.25">
      <c r="A304" s="152">
        <v>43921</v>
      </c>
      <c r="B304" s="12" t="s">
        <v>379</v>
      </c>
      <c r="C304" s="111">
        <v>0.44500000000000001</v>
      </c>
      <c r="D304" s="15">
        <v>0</v>
      </c>
      <c r="E304" s="135" t="s">
        <v>230</v>
      </c>
      <c r="F304" s="128" t="s">
        <v>13</v>
      </c>
      <c r="G304" s="140" t="s">
        <v>380</v>
      </c>
      <c r="H304" s="15">
        <v>0</v>
      </c>
      <c r="I304" s="15">
        <v>100</v>
      </c>
      <c r="J304" s="15">
        <v>0</v>
      </c>
      <c r="N304" s="18"/>
      <c r="O304" s="14"/>
      <c r="Q304" s="14"/>
    </row>
    <row r="305" spans="1:18" s="12" customFormat="1" ht="15" customHeight="1" x14ac:dyDescent="0.25">
      <c r="A305" s="155">
        <v>43937</v>
      </c>
      <c r="B305" s="157" t="s">
        <v>381</v>
      </c>
      <c r="C305" s="153">
        <v>0.38400000000000001</v>
      </c>
      <c r="D305" s="148">
        <v>90</v>
      </c>
      <c r="E305" s="150" t="s">
        <v>230</v>
      </c>
      <c r="F305" s="150" t="s">
        <v>199</v>
      </c>
      <c r="G305" s="154" t="s">
        <v>552</v>
      </c>
      <c r="H305" s="15">
        <v>90</v>
      </c>
      <c r="I305" s="15">
        <v>10</v>
      </c>
      <c r="J305" s="15">
        <v>0</v>
      </c>
      <c r="K305" s="15">
        <v>910</v>
      </c>
      <c r="L305" s="18">
        <f>100*K305/1060</f>
        <v>85.84905660377359</v>
      </c>
      <c r="M305" s="14">
        <v>736.9</v>
      </c>
      <c r="N305" s="18">
        <f t="shared" ref="N305" si="52">M305/60</f>
        <v>12.281666666666666</v>
      </c>
      <c r="O305" s="14">
        <f t="shared" si="49"/>
        <v>0.20469444444444443</v>
      </c>
      <c r="P305" s="14"/>
      <c r="Q305" s="14"/>
      <c r="R305" s="14"/>
    </row>
    <row r="306" spans="1:18" ht="15" customHeight="1" x14ac:dyDescent="0.25">
      <c r="A306" s="152">
        <v>43947</v>
      </c>
      <c r="B306" s="12" t="s">
        <v>382</v>
      </c>
      <c r="C306" s="111">
        <v>0.123</v>
      </c>
      <c r="D306" s="15">
        <v>0</v>
      </c>
      <c r="E306" s="135" t="s">
        <v>230</v>
      </c>
      <c r="F306" s="128" t="s">
        <v>13</v>
      </c>
      <c r="H306" s="15">
        <v>0</v>
      </c>
      <c r="I306" s="15">
        <v>100</v>
      </c>
      <c r="J306" s="15">
        <v>0</v>
      </c>
      <c r="N306" s="18"/>
      <c r="O306" s="14"/>
      <c r="Q306" s="14"/>
    </row>
    <row r="307" spans="1:18" ht="15" customHeight="1" x14ac:dyDescent="0.25">
      <c r="A307" s="152">
        <v>43948</v>
      </c>
      <c r="B307" s="12" t="s">
        <v>383</v>
      </c>
      <c r="C307" s="111">
        <v>0.2</v>
      </c>
      <c r="D307" s="15">
        <v>0</v>
      </c>
      <c r="E307" s="135" t="s">
        <v>230</v>
      </c>
      <c r="F307" s="128" t="s">
        <v>13</v>
      </c>
      <c r="H307" s="15">
        <v>0</v>
      </c>
      <c r="I307" s="15">
        <v>100</v>
      </c>
      <c r="J307" s="15">
        <v>0</v>
      </c>
      <c r="N307" s="18"/>
      <c r="O307" s="14"/>
      <c r="Q307" s="14"/>
    </row>
    <row r="308" spans="1:18" ht="15" customHeight="1" x14ac:dyDescent="0.25">
      <c r="A308" s="152">
        <v>43949</v>
      </c>
      <c r="B308" s="12" t="s">
        <v>384</v>
      </c>
      <c r="C308" s="111">
        <v>0.29199999999999998</v>
      </c>
      <c r="D308" s="15">
        <v>46</v>
      </c>
      <c r="E308" s="135" t="s">
        <v>222</v>
      </c>
      <c r="F308" s="128" t="s">
        <v>19</v>
      </c>
      <c r="G308" s="29" t="s">
        <v>551</v>
      </c>
      <c r="H308" s="15">
        <v>46</v>
      </c>
      <c r="I308" s="15">
        <v>45</v>
      </c>
      <c r="J308" s="15">
        <v>9</v>
      </c>
      <c r="M308" s="14">
        <v>3446.4</v>
      </c>
      <c r="N308" s="18">
        <f t="shared" ref="N308" si="53">M308/60</f>
        <v>57.440000000000005</v>
      </c>
      <c r="O308" s="14">
        <f t="shared" si="49"/>
        <v>0.95733333333333337</v>
      </c>
      <c r="Q308" s="14"/>
    </row>
    <row r="309" spans="1:18" ht="15" customHeight="1" x14ac:dyDescent="0.25">
      <c r="A309" s="152">
        <v>43950</v>
      </c>
      <c r="B309" s="12" t="s">
        <v>385</v>
      </c>
      <c r="C309" s="111">
        <v>0.39600000000000002</v>
      </c>
      <c r="D309" s="15">
        <v>0</v>
      </c>
      <c r="E309" s="135" t="s">
        <v>230</v>
      </c>
      <c r="F309" s="128" t="s">
        <v>13</v>
      </c>
      <c r="H309" s="15">
        <v>0</v>
      </c>
      <c r="I309" s="15">
        <v>100</v>
      </c>
      <c r="J309" s="15">
        <v>0</v>
      </c>
      <c r="N309" s="18"/>
      <c r="O309" s="14"/>
      <c r="Q309" s="14"/>
    </row>
    <row r="310" spans="1:18" ht="15" customHeight="1" x14ac:dyDescent="0.25">
      <c r="A310" s="155">
        <v>43966</v>
      </c>
      <c r="B310" s="157" t="s">
        <v>143</v>
      </c>
      <c r="C310" s="153">
        <v>0.45100000000000001</v>
      </c>
      <c r="D310" s="148">
        <v>0</v>
      </c>
      <c r="E310" s="150" t="s">
        <v>230</v>
      </c>
      <c r="F310" s="2" t="s">
        <v>13</v>
      </c>
      <c r="G310" s="140" t="s">
        <v>397</v>
      </c>
      <c r="H310" s="15">
        <v>0</v>
      </c>
      <c r="I310" s="15">
        <v>100</v>
      </c>
      <c r="J310" s="15">
        <v>0</v>
      </c>
      <c r="N310" s="18"/>
      <c r="O310" s="14"/>
      <c r="Q310" s="14"/>
    </row>
    <row r="311" spans="1:18" ht="15" customHeight="1" x14ac:dyDescent="0.25">
      <c r="A311" s="155">
        <v>43967</v>
      </c>
      <c r="B311" s="157" t="s">
        <v>386</v>
      </c>
      <c r="C311" s="153">
        <v>0.35499999999999998</v>
      </c>
      <c r="D311" s="148">
        <v>0</v>
      </c>
      <c r="E311" s="150" t="s">
        <v>230</v>
      </c>
      <c r="F311" s="2" t="s">
        <v>13</v>
      </c>
      <c r="G311" s="151"/>
      <c r="H311" s="15">
        <v>0</v>
      </c>
      <c r="I311" s="15">
        <v>100</v>
      </c>
      <c r="J311" s="15">
        <v>0</v>
      </c>
      <c r="N311" s="18"/>
      <c r="O311" s="14"/>
      <c r="Q311" s="14"/>
    </row>
    <row r="312" spans="1:18" ht="15" customHeight="1" x14ac:dyDescent="0.25">
      <c r="A312" s="152">
        <v>43977</v>
      </c>
      <c r="B312" s="12" t="s">
        <v>387</v>
      </c>
      <c r="C312" s="111">
        <v>0.16600000000000001</v>
      </c>
      <c r="D312" s="15">
        <v>0</v>
      </c>
      <c r="E312" s="135" t="s">
        <v>230</v>
      </c>
      <c r="F312" s="128" t="s">
        <v>13</v>
      </c>
      <c r="H312" s="15">
        <v>0</v>
      </c>
      <c r="I312" s="15">
        <v>100</v>
      </c>
      <c r="J312" s="15">
        <v>0</v>
      </c>
      <c r="N312" s="18"/>
      <c r="O312" s="14"/>
      <c r="Q312" s="14"/>
    </row>
    <row r="313" spans="1:18" ht="15" customHeight="1" x14ac:dyDescent="0.25">
      <c r="A313" s="152">
        <v>43978</v>
      </c>
      <c r="B313" s="12" t="s">
        <v>388</v>
      </c>
      <c r="C313" s="111">
        <v>0.25600000000000001</v>
      </c>
      <c r="D313" s="15">
        <v>0</v>
      </c>
      <c r="E313" s="135" t="s">
        <v>230</v>
      </c>
      <c r="F313" s="128" t="s">
        <v>13</v>
      </c>
      <c r="H313" s="15">
        <v>0</v>
      </c>
      <c r="I313" s="15">
        <v>100</v>
      </c>
      <c r="J313" s="15">
        <v>0</v>
      </c>
      <c r="N313" s="18"/>
      <c r="O313" s="14"/>
      <c r="Q313" s="14"/>
    </row>
    <row r="314" spans="1:18" ht="15" customHeight="1" x14ac:dyDescent="0.25">
      <c r="A314" s="152">
        <v>43979</v>
      </c>
      <c r="B314" s="12" t="s">
        <v>389</v>
      </c>
      <c r="C314" s="111">
        <v>0.36</v>
      </c>
      <c r="D314" s="15">
        <v>100</v>
      </c>
      <c r="E314" s="135" t="s">
        <v>230</v>
      </c>
      <c r="F314" s="135" t="s">
        <v>198</v>
      </c>
      <c r="G314" s="29" t="s">
        <v>559</v>
      </c>
      <c r="H314" s="15">
        <v>100</v>
      </c>
      <c r="I314" s="15">
        <v>0</v>
      </c>
      <c r="J314" s="15">
        <v>0</v>
      </c>
      <c r="K314" s="15">
        <v>1040</v>
      </c>
      <c r="L314" s="18">
        <f>100*K314/1060</f>
        <v>98.113207547169807</v>
      </c>
      <c r="M314" s="14">
        <v>6035.9</v>
      </c>
      <c r="N314" s="18">
        <f t="shared" ref="N314" si="54">M314/60</f>
        <v>100.59833333333333</v>
      </c>
      <c r="O314" s="14">
        <f t="shared" si="49"/>
        <v>1.6766388888888888</v>
      </c>
      <c r="Q314" s="14"/>
    </row>
    <row r="315" spans="1:18" ht="15" customHeight="1" x14ac:dyDescent="0.25">
      <c r="A315" s="155">
        <v>43996</v>
      </c>
      <c r="B315" s="157" t="s">
        <v>390</v>
      </c>
      <c r="C315" s="153">
        <v>0.42599999999999999</v>
      </c>
      <c r="D315" s="148">
        <v>100</v>
      </c>
      <c r="E315" s="150" t="s">
        <v>230</v>
      </c>
      <c r="F315" s="150" t="s">
        <v>198</v>
      </c>
      <c r="G315" s="151" t="s">
        <v>561</v>
      </c>
      <c r="H315" s="15">
        <v>100</v>
      </c>
      <c r="I315" s="15">
        <v>0</v>
      </c>
      <c r="J315" s="15">
        <v>0</v>
      </c>
      <c r="K315" s="15">
        <v>686</v>
      </c>
      <c r="L315" s="18">
        <f>100*K315/1060</f>
        <v>64.716981132075475</v>
      </c>
      <c r="M315" s="14">
        <v>3386.5</v>
      </c>
      <c r="N315" s="18">
        <f t="shared" ref="N315" si="55">M315/60</f>
        <v>56.44166666666667</v>
      </c>
      <c r="O315" s="14">
        <f t="shared" si="49"/>
        <v>0.9406944444444445</v>
      </c>
      <c r="Q315" s="14"/>
    </row>
    <row r="316" spans="1:18" ht="15" customHeight="1" x14ac:dyDescent="0.25">
      <c r="A316" s="155">
        <v>43997</v>
      </c>
      <c r="B316" s="157" t="s">
        <v>391</v>
      </c>
      <c r="C316" s="153">
        <v>0.33300000000000002</v>
      </c>
      <c r="D316" s="148">
        <v>100</v>
      </c>
      <c r="E316" s="150" t="s">
        <v>209</v>
      </c>
      <c r="F316" s="150" t="s">
        <v>198</v>
      </c>
      <c r="G316" s="151" t="s">
        <v>562</v>
      </c>
      <c r="H316" s="15">
        <v>100</v>
      </c>
      <c r="I316" s="15">
        <v>0</v>
      </c>
      <c r="J316" s="15">
        <v>0</v>
      </c>
      <c r="K316" s="15">
        <v>948</v>
      </c>
      <c r="L316" s="18">
        <f>100*K316/1060</f>
        <v>89.433962264150949</v>
      </c>
      <c r="M316" s="14">
        <v>2387.9</v>
      </c>
      <c r="N316" s="18">
        <f t="shared" ref="N316" si="56">M316/60</f>
        <v>39.798333333333332</v>
      </c>
      <c r="O316" s="14">
        <f t="shared" si="49"/>
        <v>0.66330555555555548</v>
      </c>
      <c r="Q316" s="14"/>
    </row>
    <row r="317" spans="1:18" ht="15" customHeight="1" x14ac:dyDescent="0.25">
      <c r="A317" s="155">
        <v>43998</v>
      </c>
      <c r="B317" s="157" t="s">
        <v>392</v>
      </c>
      <c r="C317" s="153">
        <v>0.246</v>
      </c>
      <c r="D317" s="148">
        <v>100</v>
      </c>
      <c r="E317" s="150" t="s">
        <v>209</v>
      </c>
      <c r="F317" s="150" t="s">
        <v>199</v>
      </c>
      <c r="G317" s="151"/>
      <c r="H317" s="15">
        <v>100</v>
      </c>
      <c r="I317" s="15">
        <v>0</v>
      </c>
      <c r="J317" s="15">
        <v>0</v>
      </c>
      <c r="M317" s="14">
        <v>1515.26</v>
      </c>
      <c r="N317" s="18">
        <f t="shared" ref="N317" si="57">M317/60</f>
        <v>25.254333333333332</v>
      </c>
      <c r="O317" s="14">
        <f t="shared" si="49"/>
        <v>0.42090555555555553</v>
      </c>
      <c r="Q317" s="14"/>
    </row>
    <row r="318" spans="1:18" ht="15" customHeight="1" x14ac:dyDescent="0.25">
      <c r="A318" s="152">
        <v>44006</v>
      </c>
      <c r="B318" s="12" t="s">
        <v>393</v>
      </c>
      <c r="C318" s="111">
        <v>0.13900000000000001</v>
      </c>
      <c r="D318" s="15">
        <v>0</v>
      </c>
      <c r="E318" s="135" t="s">
        <v>230</v>
      </c>
      <c r="F318" s="128" t="s">
        <v>13</v>
      </c>
      <c r="H318" s="15">
        <v>0</v>
      </c>
      <c r="I318" s="15">
        <v>100</v>
      </c>
      <c r="J318" s="15">
        <v>0</v>
      </c>
      <c r="N318" s="18"/>
      <c r="O318" s="14"/>
      <c r="Q318" s="14"/>
    </row>
    <row r="319" spans="1:18" ht="15" customHeight="1" x14ac:dyDescent="0.25">
      <c r="A319" s="152">
        <v>44007</v>
      </c>
      <c r="B319" s="12" t="s">
        <v>394</v>
      </c>
      <c r="C319" s="111">
        <v>0.22800000000000001</v>
      </c>
      <c r="D319" s="15">
        <v>100</v>
      </c>
      <c r="E319" s="135" t="s">
        <v>486</v>
      </c>
      <c r="F319" s="128" t="s">
        <v>19</v>
      </c>
      <c r="H319" s="15">
        <v>100</v>
      </c>
      <c r="I319" s="15">
        <v>0</v>
      </c>
      <c r="J319" s="15">
        <v>0</v>
      </c>
      <c r="M319" s="14">
        <v>2996.26</v>
      </c>
      <c r="N319" s="18">
        <f t="shared" ref="N319" si="58">M319/60</f>
        <v>49.937666666666672</v>
      </c>
      <c r="O319" s="14">
        <f t="shared" si="49"/>
        <v>0.83229444444444456</v>
      </c>
      <c r="Q319" s="14"/>
    </row>
    <row r="320" spans="1:18" ht="15" customHeight="1" x14ac:dyDescent="0.25">
      <c r="A320" s="152">
        <v>44008</v>
      </c>
      <c r="B320" s="12" t="s">
        <v>395</v>
      </c>
      <c r="C320" s="111">
        <v>0.33200000000000002</v>
      </c>
      <c r="D320" s="15">
        <v>100</v>
      </c>
      <c r="E320" s="135" t="s">
        <v>222</v>
      </c>
      <c r="F320" s="128" t="s">
        <v>198</v>
      </c>
      <c r="H320" s="15">
        <v>100</v>
      </c>
      <c r="I320" s="15">
        <v>0</v>
      </c>
      <c r="J320" s="15">
        <v>0</v>
      </c>
      <c r="M320" s="14">
        <v>4384.076</v>
      </c>
      <c r="N320" s="18">
        <f t="shared" ref="N320:N321" si="59">M320/60</f>
        <v>73.067933333333329</v>
      </c>
      <c r="O320" s="14">
        <f t="shared" si="49"/>
        <v>1.2177988888888889</v>
      </c>
      <c r="Q320" s="14"/>
    </row>
    <row r="321" spans="1:17" ht="15" customHeight="1" x14ac:dyDescent="0.25">
      <c r="A321" s="152">
        <v>44009</v>
      </c>
      <c r="B321" s="12" t="s">
        <v>396</v>
      </c>
      <c r="C321" s="111">
        <v>0.44500000000000001</v>
      </c>
      <c r="D321" s="15">
        <v>100</v>
      </c>
      <c r="E321" s="135" t="s">
        <v>230</v>
      </c>
      <c r="F321" s="135" t="s">
        <v>198</v>
      </c>
      <c r="G321" s="140" t="s">
        <v>563</v>
      </c>
      <c r="H321" s="15">
        <v>100</v>
      </c>
      <c r="I321" s="15">
        <v>0</v>
      </c>
      <c r="J321" s="15">
        <v>0</v>
      </c>
      <c r="K321" s="15">
        <v>741</v>
      </c>
      <c r="L321" s="18">
        <f>100*K321/1060</f>
        <v>69.905660377358487</v>
      </c>
      <c r="M321" s="14">
        <v>5614.3</v>
      </c>
      <c r="N321" s="18">
        <f t="shared" si="59"/>
        <v>93.571666666666673</v>
      </c>
      <c r="O321" s="14">
        <f t="shared" si="49"/>
        <v>1.5595277777777778</v>
      </c>
      <c r="Q321" s="14"/>
    </row>
    <row r="322" spans="1:17" ht="15" customHeight="1" x14ac:dyDescent="0.25">
      <c r="A322" s="155">
        <v>44026</v>
      </c>
      <c r="B322" s="157" t="s">
        <v>398</v>
      </c>
      <c r="C322" s="153">
        <v>0.40300000000000002</v>
      </c>
      <c r="D322" s="148">
        <v>0</v>
      </c>
      <c r="E322" s="150" t="s">
        <v>230</v>
      </c>
      <c r="F322" s="2" t="s">
        <v>13</v>
      </c>
      <c r="G322" s="151"/>
      <c r="H322" s="15">
        <v>0</v>
      </c>
      <c r="I322" s="15">
        <v>100</v>
      </c>
      <c r="J322" s="15">
        <v>0</v>
      </c>
      <c r="N322" s="18"/>
      <c r="O322" s="14"/>
      <c r="Q322" s="14"/>
    </row>
    <row r="323" spans="1:17" ht="15" customHeight="1" x14ac:dyDescent="0.25">
      <c r="A323" s="155">
        <v>44027</v>
      </c>
      <c r="B323" s="157" t="s">
        <v>399</v>
      </c>
      <c r="C323" s="153">
        <v>0.31</v>
      </c>
      <c r="D323" s="148">
        <v>75</v>
      </c>
      <c r="E323" s="150" t="s">
        <v>230</v>
      </c>
      <c r="F323" s="150" t="s">
        <v>19</v>
      </c>
      <c r="G323" s="151" t="s">
        <v>565</v>
      </c>
      <c r="H323" s="15">
        <v>75</v>
      </c>
      <c r="I323" s="15">
        <v>25</v>
      </c>
      <c r="J323" s="15">
        <v>0</v>
      </c>
      <c r="M323" s="14">
        <v>3892.82</v>
      </c>
      <c r="N323" s="18">
        <f t="shared" ref="N323:N326" si="60">M323/60</f>
        <v>64.88033333333334</v>
      </c>
      <c r="O323" s="14">
        <f t="shared" si="49"/>
        <v>1.0813388888888891</v>
      </c>
      <c r="Q323" s="14"/>
    </row>
    <row r="324" spans="1:17" ht="15" customHeight="1" x14ac:dyDescent="0.25">
      <c r="A324" s="155">
        <v>44028</v>
      </c>
      <c r="B324" s="157" t="s">
        <v>400</v>
      </c>
      <c r="C324" s="153">
        <v>0.222</v>
      </c>
      <c r="D324" s="132">
        <v>100</v>
      </c>
      <c r="E324" s="2">
        <v>0</v>
      </c>
      <c r="F324" s="2" t="s">
        <v>19</v>
      </c>
      <c r="G324" s="151"/>
      <c r="H324" s="15">
        <v>100</v>
      </c>
      <c r="I324" s="15">
        <v>0</v>
      </c>
      <c r="J324" s="15">
        <v>0</v>
      </c>
      <c r="M324" s="14">
        <v>3211.33</v>
      </c>
      <c r="N324" s="18">
        <f t="shared" si="60"/>
        <v>53.522166666666664</v>
      </c>
      <c r="O324" s="14">
        <f t="shared" si="49"/>
        <v>0.89203611111111103</v>
      </c>
      <c r="Q324" s="14"/>
    </row>
    <row r="325" spans="1:17" ht="15" customHeight="1" x14ac:dyDescent="0.25">
      <c r="A325" s="155">
        <v>44029</v>
      </c>
      <c r="B325" s="157" t="s">
        <v>143</v>
      </c>
      <c r="C325" s="153">
        <v>0.14299999999999999</v>
      </c>
      <c r="D325" s="132">
        <v>100</v>
      </c>
      <c r="E325" s="2">
        <v>0</v>
      </c>
      <c r="F325" s="2" t="s">
        <v>19</v>
      </c>
      <c r="G325" s="151"/>
      <c r="H325" s="15">
        <v>100</v>
      </c>
      <c r="I325" s="15">
        <v>0</v>
      </c>
      <c r="J325" s="15">
        <v>0</v>
      </c>
      <c r="M325" s="14">
        <v>1746.7</v>
      </c>
      <c r="N325" s="18">
        <f t="shared" si="60"/>
        <v>29.111666666666668</v>
      </c>
      <c r="O325" s="14">
        <f t="shared" si="49"/>
        <v>0.48519444444444448</v>
      </c>
      <c r="Q325" s="14"/>
    </row>
    <row r="326" spans="1:17" ht="15" customHeight="1" x14ac:dyDescent="0.25">
      <c r="A326" s="152">
        <v>44036</v>
      </c>
      <c r="B326" s="12" t="s">
        <v>401</v>
      </c>
      <c r="C326" s="111">
        <v>0.20300000000000001</v>
      </c>
      <c r="D326" s="15">
        <v>50</v>
      </c>
      <c r="E326" s="135" t="s">
        <v>230</v>
      </c>
      <c r="F326" s="128" t="s">
        <v>19</v>
      </c>
      <c r="G326" s="29" t="s">
        <v>567</v>
      </c>
      <c r="H326" s="15">
        <v>50</v>
      </c>
      <c r="I326" s="15">
        <v>0</v>
      </c>
      <c r="J326" s="15">
        <v>50</v>
      </c>
      <c r="K326" s="15"/>
      <c r="M326" s="14">
        <v>889.36</v>
      </c>
      <c r="N326" s="18">
        <f t="shared" si="60"/>
        <v>14.822666666666667</v>
      </c>
      <c r="O326" s="14">
        <f t="shared" si="49"/>
        <v>0.24704444444444446</v>
      </c>
      <c r="Q326" s="14"/>
    </row>
    <row r="327" spans="1:17" ht="15" customHeight="1" x14ac:dyDescent="0.25">
      <c r="A327" s="152">
        <v>44037</v>
      </c>
      <c r="B327" s="12" t="s">
        <v>402</v>
      </c>
      <c r="C327" s="111">
        <v>0.30599999999999999</v>
      </c>
      <c r="D327" s="15">
        <v>100</v>
      </c>
      <c r="E327" s="135" t="s">
        <v>284</v>
      </c>
      <c r="F327" s="128" t="s">
        <v>19</v>
      </c>
      <c r="G327" s="29" t="s">
        <v>568</v>
      </c>
      <c r="H327" s="15">
        <v>100</v>
      </c>
      <c r="I327" s="15">
        <v>0</v>
      </c>
      <c r="J327" s="15">
        <v>0</v>
      </c>
      <c r="M327" s="14">
        <v>2443.451</v>
      </c>
      <c r="N327" s="18">
        <f t="shared" ref="N327" si="61">M327/60</f>
        <v>40.724183333333336</v>
      </c>
      <c r="O327" s="14">
        <f t="shared" si="49"/>
        <v>0.67873638888888899</v>
      </c>
      <c r="Q327" s="14"/>
    </row>
    <row r="328" spans="1:17" ht="15" customHeight="1" x14ac:dyDescent="0.25">
      <c r="A328" s="152">
        <v>44038</v>
      </c>
      <c r="B328" s="12" t="s">
        <v>403</v>
      </c>
      <c r="C328" s="111">
        <v>0.42</v>
      </c>
      <c r="D328" s="15">
        <v>100</v>
      </c>
      <c r="E328" s="135" t="s">
        <v>235</v>
      </c>
      <c r="F328" s="128" t="s">
        <v>19</v>
      </c>
      <c r="G328" s="166" t="s">
        <v>569</v>
      </c>
      <c r="H328" s="15">
        <v>100</v>
      </c>
      <c r="I328" s="15">
        <v>0</v>
      </c>
      <c r="J328" s="15">
        <v>0</v>
      </c>
      <c r="K328" s="15">
        <v>779</v>
      </c>
      <c r="L328" s="18">
        <f>100*K328/1060</f>
        <v>73.490566037735846</v>
      </c>
      <c r="M328" s="14">
        <v>3495.26</v>
      </c>
      <c r="N328" s="18">
        <f t="shared" ref="N328:N330" si="62">M328/60</f>
        <v>58.254333333333335</v>
      </c>
      <c r="O328" s="14">
        <f t="shared" si="49"/>
        <v>0.97090555555555558</v>
      </c>
      <c r="Q328" s="14"/>
    </row>
    <row r="329" spans="1:17" ht="15" customHeight="1" x14ac:dyDescent="0.25">
      <c r="A329" s="155">
        <v>44056</v>
      </c>
      <c r="B329" s="157" t="s">
        <v>404</v>
      </c>
      <c r="C329" s="153">
        <v>0.377</v>
      </c>
      <c r="D329" s="148">
        <v>100</v>
      </c>
      <c r="E329" s="2" t="s">
        <v>222</v>
      </c>
      <c r="F329" s="150" t="s">
        <v>19</v>
      </c>
      <c r="G329" s="151" t="s">
        <v>568</v>
      </c>
      <c r="H329" s="15">
        <v>100</v>
      </c>
      <c r="I329" s="15">
        <v>0</v>
      </c>
      <c r="J329" s="15">
        <v>0</v>
      </c>
      <c r="M329" s="14">
        <v>7399.12</v>
      </c>
      <c r="N329" s="18">
        <f t="shared" si="62"/>
        <v>123.31866666666666</v>
      </c>
      <c r="O329" s="14">
        <f t="shared" si="49"/>
        <v>2.0553111111111111</v>
      </c>
      <c r="Q329" s="14"/>
    </row>
    <row r="330" spans="1:17" ht="15" customHeight="1" x14ac:dyDescent="0.25">
      <c r="A330" s="155">
        <v>44057</v>
      </c>
      <c r="B330" s="157" t="s">
        <v>405</v>
      </c>
      <c r="C330" s="153">
        <v>0.28100000000000003</v>
      </c>
      <c r="D330" s="148">
        <v>100</v>
      </c>
      <c r="E330" s="2" t="s">
        <v>235</v>
      </c>
      <c r="F330" s="150" t="s">
        <v>19</v>
      </c>
      <c r="G330" s="151" t="s">
        <v>568</v>
      </c>
      <c r="H330" s="15">
        <v>100</v>
      </c>
      <c r="I330" s="15">
        <v>0</v>
      </c>
      <c r="J330" s="15">
        <v>0</v>
      </c>
      <c r="M330" s="14">
        <v>5558</v>
      </c>
      <c r="N330" s="18">
        <f t="shared" si="62"/>
        <v>92.63333333333334</v>
      </c>
      <c r="O330" s="14">
        <f t="shared" si="49"/>
        <v>1.5438888888888891</v>
      </c>
      <c r="Q330" s="14"/>
    </row>
    <row r="331" spans="1:17" ht="15" customHeight="1" x14ac:dyDescent="0.25">
      <c r="A331" s="155">
        <v>44058</v>
      </c>
      <c r="B331" s="157" t="s">
        <v>406</v>
      </c>
      <c r="C331" s="153">
        <v>0.191</v>
      </c>
      <c r="D331" s="148">
        <v>0</v>
      </c>
      <c r="E331" s="2" t="s">
        <v>230</v>
      </c>
      <c r="F331" s="150" t="s">
        <v>19</v>
      </c>
      <c r="G331" s="151" t="s">
        <v>570</v>
      </c>
      <c r="H331" s="15">
        <v>0</v>
      </c>
      <c r="I331" s="15">
        <v>0</v>
      </c>
      <c r="J331" s="15">
        <v>100</v>
      </c>
      <c r="N331" s="18"/>
      <c r="O331" s="14"/>
      <c r="Q331" s="14"/>
    </row>
    <row r="332" spans="1:17" ht="15" customHeight="1" x14ac:dyDescent="0.25">
      <c r="A332" s="155">
        <v>44059</v>
      </c>
      <c r="B332" s="157" t="s">
        <v>407</v>
      </c>
      <c r="C332" s="153">
        <v>0.112</v>
      </c>
      <c r="D332" s="148">
        <v>0</v>
      </c>
      <c r="E332" s="2" t="s">
        <v>230</v>
      </c>
      <c r="F332" s="150" t="s">
        <v>19</v>
      </c>
      <c r="G332" s="151" t="s">
        <v>570</v>
      </c>
      <c r="H332" s="15">
        <v>0</v>
      </c>
      <c r="I332" s="15">
        <v>0</v>
      </c>
      <c r="J332" s="15">
        <v>100</v>
      </c>
      <c r="N332" s="18"/>
      <c r="O332" s="14"/>
      <c r="Q332" s="14"/>
    </row>
    <row r="333" spans="1:17" ht="15" customHeight="1" x14ac:dyDescent="0.25">
      <c r="A333" s="152">
        <v>44066</v>
      </c>
      <c r="B333" s="12" t="s">
        <v>408</v>
      </c>
      <c r="C333" s="111">
        <v>0.27800000000000002</v>
      </c>
      <c r="D333" s="15">
        <v>85</v>
      </c>
      <c r="E333" s="135" t="s">
        <v>230</v>
      </c>
      <c r="F333" s="128" t="s">
        <v>19</v>
      </c>
      <c r="G333" s="106" t="s">
        <v>571</v>
      </c>
      <c r="H333" s="15">
        <v>85</v>
      </c>
      <c r="I333" s="15">
        <v>0</v>
      </c>
      <c r="J333" s="15">
        <v>15</v>
      </c>
      <c r="M333" s="14">
        <v>965.13</v>
      </c>
      <c r="N333" s="18">
        <f t="shared" ref="N333" si="63">M333/60</f>
        <v>16.0855</v>
      </c>
      <c r="O333" s="14">
        <f t="shared" si="49"/>
        <v>0.26809166666666667</v>
      </c>
      <c r="Q333" s="14"/>
    </row>
    <row r="334" spans="1:17" ht="15" customHeight="1" x14ac:dyDescent="0.25">
      <c r="A334" s="152">
        <v>44067</v>
      </c>
      <c r="B334" s="12" t="s">
        <v>409</v>
      </c>
      <c r="C334" s="111">
        <v>0.39100000000000001</v>
      </c>
      <c r="D334" s="15">
        <v>25</v>
      </c>
      <c r="E334" s="135" t="s">
        <v>230</v>
      </c>
      <c r="F334" s="128" t="s">
        <v>19</v>
      </c>
      <c r="G334" s="106" t="s">
        <v>572</v>
      </c>
      <c r="H334" s="15">
        <v>25</v>
      </c>
      <c r="I334" s="15">
        <v>0</v>
      </c>
      <c r="J334" s="15">
        <v>75</v>
      </c>
      <c r="M334" s="14">
        <v>785.75</v>
      </c>
      <c r="N334" s="18">
        <f t="shared" ref="N334" si="64">M334/60</f>
        <v>13.095833333333333</v>
      </c>
      <c r="O334" s="14">
        <f t="shared" si="49"/>
        <v>0.2182638888888889</v>
      </c>
      <c r="Q334" s="14"/>
    </row>
    <row r="335" spans="1:17" ht="15" customHeight="1" x14ac:dyDescent="0.25">
      <c r="A335" s="155">
        <v>44085</v>
      </c>
      <c r="B335" s="157" t="s">
        <v>410</v>
      </c>
      <c r="C335" s="153">
        <v>0.44400000000000001</v>
      </c>
      <c r="D335" s="148">
        <v>0</v>
      </c>
      <c r="E335" s="150" t="s">
        <v>230</v>
      </c>
      <c r="F335" s="150" t="s">
        <v>473</v>
      </c>
      <c r="G335" s="154" t="s">
        <v>574</v>
      </c>
      <c r="H335" s="15">
        <v>0</v>
      </c>
      <c r="I335" s="15">
        <v>0</v>
      </c>
      <c r="J335" s="15">
        <v>100</v>
      </c>
      <c r="N335" s="18"/>
      <c r="O335" s="14"/>
    </row>
    <row r="336" spans="1:17" ht="15" customHeight="1" x14ac:dyDescent="0.25">
      <c r="A336" s="155">
        <v>44086</v>
      </c>
      <c r="B336" s="157" t="s">
        <v>411</v>
      </c>
      <c r="C336" s="153">
        <v>0.34100000000000003</v>
      </c>
      <c r="D336" s="148">
        <v>0</v>
      </c>
      <c r="E336" s="150" t="s">
        <v>230</v>
      </c>
      <c r="F336" s="150" t="s">
        <v>473</v>
      </c>
      <c r="G336" s="154" t="s">
        <v>574</v>
      </c>
      <c r="H336" s="15">
        <v>0</v>
      </c>
      <c r="I336" s="15">
        <v>0</v>
      </c>
      <c r="J336" s="15">
        <v>100</v>
      </c>
      <c r="N336" s="18"/>
      <c r="O336" s="14"/>
      <c r="Q336" s="14"/>
    </row>
    <row r="337" spans="1:18" ht="15" customHeight="1" x14ac:dyDescent="0.25">
      <c r="A337" s="155">
        <v>44087</v>
      </c>
      <c r="B337" s="157" t="s">
        <v>412</v>
      </c>
      <c r="C337" s="153">
        <v>0.24199999999999999</v>
      </c>
      <c r="D337" s="148">
        <v>0</v>
      </c>
      <c r="E337" s="150" t="s">
        <v>230</v>
      </c>
      <c r="F337" s="150" t="s">
        <v>473</v>
      </c>
      <c r="G337" s="154" t="s">
        <v>574</v>
      </c>
      <c r="H337" s="15">
        <v>0</v>
      </c>
      <c r="I337" s="15">
        <v>0</v>
      </c>
      <c r="J337" s="15">
        <v>100</v>
      </c>
      <c r="N337" s="18"/>
      <c r="O337" s="14"/>
    </row>
    <row r="338" spans="1:18" ht="15" customHeight="1" x14ac:dyDescent="0.25">
      <c r="A338" s="155">
        <v>44088</v>
      </c>
      <c r="B338" s="157" t="s">
        <v>413</v>
      </c>
      <c r="C338" s="153">
        <v>0.151</v>
      </c>
      <c r="D338" s="148">
        <v>0</v>
      </c>
      <c r="E338" s="150" t="s">
        <v>230</v>
      </c>
      <c r="F338" s="150" t="s">
        <v>473</v>
      </c>
      <c r="G338" s="154" t="s">
        <v>574</v>
      </c>
      <c r="H338" s="15">
        <v>0</v>
      </c>
      <c r="I338" s="15">
        <v>0</v>
      </c>
      <c r="J338" s="15">
        <v>100</v>
      </c>
      <c r="N338" s="18"/>
      <c r="O338" s="14"/>
    </row>
    <row r="339" spans="1:18" ht="15" customHeight="1" x14ac:dyDescent="0.25">
      <c r="A339" s="155">
        <v>44089</v>
      </c>
      <c r="B339" s="157" t="s">
        <v>414</v>
      </c>
      <c r="C339" s="153">
        <v>7.5999999999999998E-2</v>
      </c>
      <c r="D339" s="148">
        <v>0</v>
      </c>
      <c r="E339" s="150" t="s">
        <v>230</v>
      </c>
      <c r="F339" s="150" t="s">
        <v>473</v>
      </c>
      <c r="G339" s="154" t="s">
        <v>574</v>
      </c>
      <c r="H339" s="15">
        <v>0</v>
      </c>
      <c r="I339" s="15">
        <v>0</v>
      </c>
      <c r="J339" s="15">
        <v>100</v>
      </c>
      <c r="N339" s="18"/>
      <c r="O339" s="14"/>
    </row>
    <row r="340" spans="1:18" ht="15" customHeight="1" x14ac:dyDescent="0.25">
      <c r="A340" s="152">
        <v>44095</v>
      </c>
      <c r="B340" s="12" t="s">
        <v>415</v>
      </c>
      <c r="C340" s="111">
        <v>0.24399999999999999</v>
      </c>
      <c r="D340" s="15">
        <v>0</v>
      </c>
      <c r="E340" s="135" t="s">
        <v>230</v>
      </c>
      <c r="F340" s="135" t="s">
        <v>473</v>
      </c>
      <c r="G340" s="106" t="s">
        <v>574</v>
      </c>
      <c r="H340" s="15">
        <v>0</v>
      </c>
      <c r="I340" s="15">
        <v>0</v>
      </c>
      <c r="J340" s="15">
        <v>100</v>
      </c>
      <c r="N340" s="18"/>
      <c r="O340" s="14"/>
    </row>
    <row r="341" spans="1:18" ht="15" customHeight="1" x14ac:dyDescent="0.25">
      <c r="A341" s="152">
        <v>44096</v>
      </c>
      <c r="B341" s="12" t="s">
        <v>416</v>
      </c>
      <c r="C341" s="111">
        <v>0.35299999999999998</v>
      </c>
      <c r="D341" s="15">
        <v>0</v>
      </c>
      <c r="E341" s="135" t="s">
        <v>230</v>
      </c>
      <c r="F341" s="135" t="s">
        <v>473</v>
      </c>
      <c r="G341" s="106" t="s">
        <v>574</v>
      </c>
      <c r="H341" s="15">
        <v>0</v>
      </c>
      <c r="I341" s="15">
        <v>0</v>
      </c>
      <c r="J341" s="15">
        <v>100</v>
      </c>
      <c r="N341" s="18"/>
      <c r="O341" s="14"/>
    </row>
    <row r="342" spans="1:18" ht="15" customHeight="1" x14ac:dyDescent="0.25">
      <c r="A342" s="155">
        <v>44115</v>
      </c>
      <c r="B342" s="157" t="s">
        <v>555</v>
      </c>
      <c r="C342" s="153">
        <v>0.4</v>
      </c>
      <c r="D342" s="148">
        <v>0</v>
      </c>
      <c r="E342" s="150" t="s">
        <v>230</v>
      </c>
      <c r="F342" s="150" t="s">
        <v>473</v>
      </c>
      <c r="G342" s="154" t="s">
        <v>576</v>
      </c>
      <c r="H342" s="15">
        <v>0</v>
      </c>
      <c r="I342" s="15">
        <v>0</v>
      </c>
      <c r="J342" s="15">
        <v>100</v>
      </c>
      <c r="N342" s="18"/>
      <c r="O342" s="14"/>
    </row>
    <row r="343" spans="1:18" ht="15" customHeight="1" x14ac:dyDescent="0.25">
      <c r="A343" s="155">
        <v>44116</v>
      </c>
      <c r="B343" s="157" t="s">
        <v>556</v>
      </c>
      <c r="C343" s="153">
        <v>0.29299999999999998</v>
      </c>
      <c r="D343" s="148">
        <v>0</v>
      </c>
      <c r="E343" s="150" t="s">
        <v>230</v>
      </c>
      <c r="F343" s="150" t="s">
        <v>473</v>
      </c>
      <c r="G343" s="154" t="s">
        <v>576</v>
      </c>
      <c r="H343" s="15">
        <v>0</v>
      </c>
      <c r="I343" s="15">
        <v>0</v>
      </c>
      <c r="J343" s="15">
        <v>100</v>
      </c>
      <c r="N343" s="18"/>
      <c r="O343" s="14"/>
    </row>
    <row r="344" spans="1:18" ht="15" customHeight="1" x14ac:dyDescent="0.25">
      <c r="A344" s="155">
        <v>44117</v>
      </c>
      <c r="B344" s="157" t="s">
        <v>557</v>
      </c>
      <c r="C344" s="153">
        <v>0.192</v>
      </c>
      <c r="D344" s="148">
        <v>0</v>
      </c>
      <c r="E344" s="150" t="s">
        <v>230</v>
      </c>
      <c r="F344" s="150" t="s">
        <v>473</v>
      </c>
      <c r="G344" s="154" t="s">
        <v>576</v>
      </c>
      <c r="H344" s="15">
        <v>0</v>
      </c>
      <c r="I344" s="15">
        <v>0</v>
      </c>
      <c r="J344" s="15">
        <v>100</v>
      </c>
      <c r="N344" s="18"/>
      <c r="O344" s="14"/>
    </row>
    <row r="345" spans="1:18" ht="15" customHeight="1" x14ac:dyDescent="0.25">
      <c r="A345" s="155">
        <v>44118</v>
      </c>
      <c r="B345" s="157" t="s">
        <v>558</v>
      </c>
      <c r="C345" s="153">
        <v>0.106</v>
      </c>
      <c r="D345" s="148">
        <v>0</v>
      </c>
      <c r="E345" s="150" t="s">
        <v>230</v>
      </c>
      <c r="F345" s="150" t="s">
        <v>473</v>
      </c>
      <c r="G345" s="154" t="s">
        <v>576</v>
      </c>
      <c r="H345" s="15">
        <v>0</v>
      </c>
      <c r="I345" s="15">
        <v>0</v>
      </c>
      <c r="J345" s="15">
        <v>100</v>
      </c>
      <c r="N345" s="18"/>
      <c r="O345" s="14"/>
    </row>
    <row r="346" spans="1:18" ht="15" customHeight="1" x14ac:dyDescent="0.25">
      <c r="A346" s="152">
        <v>44125</v>
      </c>
      <c r="B346" s="12" t="s">
        <v>134</v>
      </c>
      <c r="C346" s="111">
        <v>0.30599999999999999</v>
      </c>
      <c r="D346" s="15">
        <v>0</v>
      </c>
      <c r="E346" s="135" t="s">
        <v>230</v>
      </c>
      <c r="F346" s="135" t="s">
        <v>473</v>
      </c>
      <c r="G346" s="29" t="s">
        <v>576</v>
      </c>
      <c r="H346" s="15">
        <v>0</v>
      </c>
      <c r="I346" s="15">
        <v>0</v>
      </c>
      <c r="J346" s="15">
        <v>100</v>
      </c>
      <c r="N346" s="18"/>
      <c r="O346" s="14"/>
    </row>
    <row r="347" spans="1:18" ht="15" customHeight="1" x14ac:dyDescent="0.25">
      <c r="A347" s="152">
        <v>44126</v>
      </c>
      <c r="B347" s="12" t="s">
        <v>417</v>
      </c>
      <c r="C347" s="111">
        <v>0.41599999999999998</v>
      </c>
      <c r="D347" s="15">
        <v>0</v>
      </c>
      <c r="E347" s="135" t="s">
        <v>230</v>
      </c>
      <c r="F347" s="135" t="s">
        <v>473</v>
      </c>
      <c r="G347" s="29" t="s">
        <v>576</v>
      </c>
      <c r="H347" s="15">
        <v>0</v>
      </c>
      <c r="I347" s="15">
        <v>0</v>
      </c>
      <c r="J347" s="15">
        <v>100</v>
      </c>
      <c r="N347" s="18"/>
      <c r="O347" s="14"/>
    </row>
    <row r="348" spans="1:18" ht="15" customHeight="1" x14ac:dyDescent="0.25">
      <c r="A348" s="155">
        <v>44144</v>
      </c>
      <c r="B348" s="157" t="s">
        <v>418</v>
      </c>
      <c r="C348" s="153">
        <v>0.45500000000000002</v>
      </c>
      <c r="D348" s="148">
        <v>0</v>
      </c>
      <c r="E348" s="150" t="s">
        <v>230</v>
      </c>
      <c r="F348" s="2" t="s">
        <v>13</v>
      </c>
      <c r="G348" s="140" t="s">
        <v>419</v>
      </c>
      <c r="H348" s="15">
        <v>0</v>
      </c>
      <c r="I348" s="15">
        <v>100</v>
      </c>
      <c r="J348" s="15">
        <v>0</v>
      </c>
      <c r="N348" s="18"/>
      <c r="O348" s="14"/>
    </row>
    <row r="349" spans="1:18" ht="15" customHeight="1" x14ac:dyDescent="0.25">
      <c r="A349" s="155">
        <v>44145</v>
      </c>
      <c r="B349" s="157" t="s">
        <v>420</v>
      </c>
      <c r="C349" s="153">
        <v>0.34200000000000003</v>
      </c>
      <c r="D349" s="148">
        <v>0</v>
      </c>
      <c r="E349" s="150" t="s">
        <v>230</v>
      </c>
      <c r="F349" s="2" t="s">
        <v>13</v>
      </c>
      <c r="G349" s="151"/>
      <c r="H349" s="15">
        <v>0</v>
      </c>
      <c r="I349" s="15">
        <v>100</v>
      </c>
      <c r="J349" s="15">
        <v>0</v>
      </c>
      <c r="N349" s="18"/>
      <c r="O349" s="14"/>
    </row>
    <row r="350" spans="1:18" ht="15" customHeight="1" x14ac:dyDescent="0.25">
      <c r="A350" s="155">
        <v>44146</v>
      </c>
      <c r="B350" s="157" t="s">
        <v>421</v>
      </c>
      <c r="C350" s="153">
        <v>0.23300000000000001</v>
      </c>
      <c r="D350" s="148">
        <v>0</v>
      </c>
      <c r="E350" s="150" t="s">
        <v>230</v>
      </c>
      <c r="F350" s="2" t="s">
        <v>13</v>
      </c>
      <c r="G350" s="151"/>
      <c r="H350" s="15">
        <v>0</v>
      </c>
      <c r="I350" s="15">
        <v>100</v>
      </c>
      <c r="J350" s="15">
        <v>0</v>
      </c>
      <c r="N350" s="18"/>
      <c r="O350" s="14"/>
    </row>
    <row r="351" spans="1:18" ht="15" customHeight="1" x14ac:dyDescent="0.25">
      <c r="A351" s="155">
        <v>44147</v>
      </c>
      <c r="B351" s="157" t="s">
        <v>422</v>
      </c>
      <c r="C351" s="153">
        <v>0.13700000000000001</v>
      </c>
      <c r="D351" s="148">
        <v>0</v>
      </c>
      <c r="E351" s="150" t="s">
        <v>230</v>
      </c>
      <c r="F351" s="2" t="s">
        <v>13</v>
      </c>
      <c r="G351" s="151"/>
      <c r="H351" s="15">
        <v>0</v>
      </c>
      <c r="I351" s="15">
        <v>100</v>
      </c>
      <c r="J351" s="15">
        <v>0</v>
      </c>
      <c r="N351" s="18"/>
      <c r="O351" s="14"/>
    </row>
    <row r="352" spans="1:18" s="12" customFormat="1" ht="15" customHeight="1" x14ac:dyDescent="0.25">
      <c r="A352" s="152">
        <v>44154</v>
      </c>
      <c r="B352" s="12" t="s">
        <v>423</v>
      </c>
      <c r="C352" s="111">
        <v>0.252</v>
      </c>
      <c r="D352" s="15">
        <v>0</v>
      </c>
      <c r="E352" s="135" t="s">
        <v>230</v>
      </c>
      <c r="F352" s="128" t="s">
        <v>13</v>
      </c>
      <c r="H352" s="15">
        <v>0</v>
      </c>
      <c r="I352" s="15">
        <v>100</v>
      </c>
      <c r="J352" s="15">
        <v>0</v>
      </c>
      <c r="K352" s="15"/>
      <c r="M352" s="14"/>
      <c r="N352" s="18"/>
      <c r="O352" s="14"/>
      <c r="P352" s="14"/>
      <c r="Q352" s="15"/>
      <c r="R352" s="14"/>
    </row>
    <row r="353" spans="1:17" ht="15" customHeight="1" x14ac:dyDescent="0.25">
      <c r="A353" s="152">
        <v>44155</v>
      </c>
      <c r="B353" s="12" t="s">
        <v>424</v>
      </c>
      <c r="C353" s="111">
        <v>0.35599999999999998</v>
      </c>
      <c r="D353" s="15">
        <v>15</v>
      </c>
      <c r="E353" s="135" t="s">
        <v>230</v>
      </c>
      <c r="F353" s="128" t="s">
        <v>198</v>
      </c>
      <c r="G353" s="106" t="s">
        <v>578</v>
      </c>
      <c r="H353" s="15">
        <v>15</v>
      </c>
      <c r="I353" s="15">
        <v>85</v>
      </c>
      <c r="J353" s="15">
        <v>0</v>
      </c>
      <c r="M353" s="14">
        <v>968.25</v>
      </c>
      <c r="N353" s="18">
        <f t="shared" ref="N353" si="65">M353/60</f>
        <v>16.137499999999999</v>
      </c>
      <c r="O353" s="14">
        <f t="shared" si="49"/>
        <v>0.2689583333333333</v>
      </c>
      <c r="Q353" s="14"/>
    </row>
    <row r="354" spans="1:17" ht="15" customHeight="1" x14ac:dyDescent="0.25">
      <c r="A354" s="155">
        <v>44174</v>
      </c>
      <c r="B354" s="157" t="s">
        <v>425</v>
      </c>
      <c r="C354" s="153">
        <v>0.38700000000000001</v>
      </c>
      <c r="D354" s="148">
        <v>13</v>
      </c>
      <c r="E354" s="150" t="s">
        <v>580</v>
      </c>
      <c r="F354" s="150" t="s">
        <v>199</v>
      </c>
      <c r="G354" s="151" t="s">
        <v>581</v>
      </c>
      <c r="H354" s="15">
        <v>13</v>
      </c>
      <c r="I354" s="15">
        <v>87</v>
      </c>
      <c r="J354" s="15">
        <v>0</v>
      </c>
      <c r="K354" s="15">
        <v>863</v>
      </c>
      <c r="L354" s="18">
        <f>100*K354/1060</f>
        <v>81.415094339622641</v>
      </c>
      <c r="M354" s="14">
        <v>1408</v>
      </c>
      <c r="N354" s="18">
        <f t="shared" ref="N354" si="66">M354/60</f>
        <v>23.466666666666665</v>
      </c>
      <c r="O354" s="14">
        <f t="shared" si="49"/>
        <v>0.39111111111111108</v>
      </c>
      <c r="Q354" s="14"/>
    </row>
    <row r="355" spans="1:17" ht="15" customHeight="1" x14ac:dyDescent="0.25">
      <c r="A355" s="155">
        <v>44175</v>
      </c>
      <c r="B355" s="157" t="s">
        <v>426</v>
      </c>
      <c r="C355" s="153">
        <v>0.27300000000000002</v>
      </c>
      <c r="D355" s="148">
        <v>0</v>
      </c>
      <c r="E355" s="150" t="s">
        <v>230</v>
      </c>
      <c r="F355" s="2" t="s">
        <v>13</v>
      </c>
      <c r="G355" s="151"/>
      <c r="H355" s="15">
        <v>0</v>
      </c>
      <c r="I355" s="15">
        <v>100</v>
      </c>
      <c r="J355" s="15">
        <v>0</v>
      </c>
      <c r="N355" s="18"/>
      <c r="O355" s="14"/>
    </row>
    <row r="356" spans="1:17" ht="15" customHeight="1" x14ac:dyDescent="0.25">
      <c r="A356" s="155">
        <v>44176</v>
      </c>
      <c r="B356" s="157" t="s">
        <v>427</v>
      </c>
      <c r="C356" s="153">
        <v>0.17</v>
      </c>
      <c r="D356" s="148">
        <v>0</v>
      </c>
      <c r="E356" s="150" t="s">
        <v>230</v>
      </c>
      <c r="F356" s="2" t="s">
        <v>13</v>
      </c>
      <c r="G356" s="151"/>
      <c r="H356" s="15">
        <v>0</v>
      </c>
      <c r="I356" s="15">
        <v>100</v>
      </c>
      <c r="J356" s="15">
        <v>0</v>
      </c>
      <c r="N356" s="18"/>
      <c r="O356" s="14"/>
    </row>
    <row r="357" spans="1:17" ht="15" customHeight="1" x14ac:dyDescent="0.25">
      <c r="A357" s="152">
        <v>44183</v>
      </c>
      <c r="B357" s="12" t="s">
        <v>428</v>
      </c>
      <c r="C357" s="111">
        <v>0.19400000000000001</v>
      </c>
      <c r="D357" s="15">
        <v>0</v>
      </c>
      <c r="E357" s="135" t="s">
        <v>230</v>
      </c>
      <c r="F357" s="128" t="s">
        <v>13</v>
      </c>
      <c r="H357" s="15">
        <v>0</v>
      </c>
      <c r="I357" s="15">
        <v>100</v>
      </c>
      <c r="J357" s="15">
        <v>0</v>
      </c>
      <c r="N357" s="18"/>
      <c r="O357" s="14"/>
    </row>
    <row r="358" spans="1:17" ht="15" customHeight="1" x14ac:dyDescent="0.25">
      <c r="A358" s="152">
        <v>44184</v>
      </c>
      <c r="B358" s="12" t="s">
        <v>429</v>
      </c>
      <c r="C358" s="111">
        <v>0.28799999999999998</v>
      </c>
      <c r="D358" s="15">
        <v>0</v>
      </c>
      <c r="E358" s="135" t="s">
        <v>230</v>
      </c>
      <c r="F358" s="128" t="s">
        <v>13</v>
      </c>
      <c r="H358" s="15">
        <v>0</v>
      </c>
      <c r="I358" s="15">
        <v>100</v>
      </c>
      <c r="J358" s="15">
        <v>0</v>
      </c>
      <c r="N358" s="18"/>
      <c r="O358" s="14"/>
    </row>
    <row r="359" spans="1:17" ht="15" customHeight="1" x14ac:dyDescent="0.25">
      <c r="A359" s="152">
        <v>44185</v>
      </c>
      <c r="B359" s="12" t="s">
        <v>430</v>
      </c>
      <c r="C359" s="111">
        <v>0.38700000000000001</v>
      </c>
      <c r="D359" s="15">
        <v>0</v>
      </c>
      <c r="E359" s="135" t="s">
        <v>230</v>
      </c>
      <c r="F359" s="128" t="s">
        <v>13</v>
      </c>
      <c r="H359" s="15">
        <v>0</v>
      </c>
      <c r="I359" s="15">
        <v>100</v>
      </c>
      <c r="J359" s="15">
        <v>0</v>
      </c>
      <c r="N359" s="18"/>
      <c r="O359" s="14"/>
    </row>
    <row r="360" spans="1:17" ht="15" customHeight="1" x14ac:dyDescent="0.25">
      <c r="A360" s="205">
        <v>2021</v>
      </c>
      <c r="B360" s="205"/>
      <c r="C360" s="205"/>
      <c r="D360" s="205"/>
      <c r="E360" s="205"/>
      <c r="F360" s="205"/>
      <c r="G360" s="205"/>
      <c r="N360" s="18"/>
      <c r="O360" s="14"/>
    </row>
    <row r="361" spans="1:17" ht="15" customHeight="1" x14ac:dyDescent="0.25">
      <c r="A361" s="155">
        <v>44203</v>
      </c>
      <c r="B361" s="157" t="s">
        <v>583</v>
      </c>
      <c r="C361" s="153">
        <v>0.42699999999999999</v>
      </c>
      <c r="D361" s="148">
        <v>0</v>
      </c>
      <c r="E361" s="150" t="s">
        <v>230</v>
      </c>
      <c r="F361" s="2" t="s">
        <v>13</v>
      </c>
      <c r="G361" s="151"/>
      <c r="H361" s="15">
        <v>0</v>
      </c>
      <c r="I361" s="15">
        <v>100</v>
      </c>
      <c r="J361" s="15">
        <v>0</v>
      </c>
      <c r="N361" s="18"/>
      <c r="O361" s="14"/>
    </row>
    <row r="362" spans="1:17" ht="15" customHeight="1" x14ac:dyDescent="0.25">
      <c r="A362" s="155">
        <v>44204</v>
      </c>
      <c r="B362" s="157" t="s">
        <v>584</v>
      </c>
      <c r="C362" s="153">
        <v>0.31</v>
      </c>
      <c r="D362" s="148">
        <v>52</v>
      </c>
      <c r="E362" s="150" t="s">
        <v>230</v>
      </c>
      <c r="F362" s="150" t="s">
        <v>252</v>
      </c>
      <c r="G362" s="151" t="s">
        <v>586</v>
      </c>
      <c r="H362" s="15">
        <v>52</v>
      </c>
      <c r="I362" s="15">
        <v>48</v>
      </c>
      <c r="J362" s="15">
        <v>0</v>
      </c>
      <c r="M362" s="14">
        <v>3702.3330000000001</v>
      </c>
      <c r="N362" s="18">
        <f t="shared" ref="N362" si="67">M362/60</f>
        <v>61.705550000000002</v>
      </c>
      <c r="O362" s="14">
        <f t="shared" ref="O362:O420" si="68">N362/60</f>
        <v>1.0284258333333334</v>
      </c>
      <c r="Q362" s="14"/>
    </row>
    <row r="363" spans="1:17" ht="15" customHeight="1" x14ac:dyDescent="0.25">
      <c r="A363" s="155">
        <v>44205</v>
      </c>
      <c r="B363" s="157" t="s">
        <v>585</v>
      </c>
      <c r="C363" s="153">
        <v>0.20200000000000001</v>
      </c>
      <c r="D363" s="148">
        <v>0</v>
      </c>
      <c r="E363" s="150" t="s">
        <v>230</v>
      </c>
      <c r="F363" s="2" t="s">
        <v>13</v>
      </c>
      <c r="G363" s="151"/>
      <c r="H363" s="15">
        <v>0</v>
      </c>
      <c r="I363" s="15">
        <v>100</v>
      </c>
      <c r="J363" s="15">
        <v>0</v>
      </c>
      <c r="N363" s="14"/>
      <c r="O363" s="14"/>
    </row>
    <row r="364" spans="1:17" ht="15" customHeight="1" x14ac:dyDescent="0.25">
      <c r="A364" s="152"/>
      <c r="B364" s="12"/>
      <c r="C364" s="111"/>
      <c r="N364" s="14"/>
      <c r="O364" s="14"/>
    </row>
    <row r="365" spans="1:17" ht="15" customHeight="1" x14ac:dyDescent="0.25">
      <c r="A365" s="155">
        <v>44262</v>
      </c>
      <c r="B365" s="169" t="s">
        <v>407</v>
      </c>
      <c r="C365" s="153">
        <v>0.38200000000000001</v>
      </c>
      <c r="D365" s="148">
        <v>0</v>
      </c>
      <c r="E365" s="150" t="s">
        <v>230</v>
      </c>
      <c r="F365" s="2" t="s">
        <v>13</v>
      </c>
      <c r="G365" s="151"/>
      <c r="H365" s="15">
        <v>0</v>
      </c>
      <c r="I365" s="15">
        <v>100</v>
      </c>
      <c r="J365" s="15">
        <v>0</v>
      </c>
      <c r="N365" s="14"/>
      <c r="O365" s="14"/>
    </row>
    <row r="366" spans="1:17" ht="15" customHeight="1" x14ac:dyDescent="0.25">
      <c r="A366" s="152">
        <v>44271</v>
      </c>
      <c r="B366" s="13" t="s">
        <v>102</v>
      </c>
      <c r="C366" s="111">
        <v>0.1</v>
      </c>
      <c r="D366" s="15">
        <v>100</v>
      </c>
      <c r="E366" s="135" t="s">
        <v>230</v>
      </c>
      <c r="F366" s="135" t="s">
        <v>198</v>
      </c>
      <c r="G366" s="12"/>
      <c r="H366" s="15">
        <v>100</v>
      </c>
      <c r="I366" s="15">
        <v>0</v>
      </c>
      <c r="J366" s="15">
        <v>0</v>
      </c>
      <c r="M366" s="14">
        <v>1687.56</v>
      </c>
      <c r="N366" s="18">
        <f t="shared" ref="N366" si="69">M366/60</f>
        <v>28.125999999999998</v>
      </c>
      <c r="O366" s="14">
        <f t="shared" si="68"/>
        <v>0.46876666666666661</v>
      </c>
      <c r="Q366" s="14"/>
    </row>
    <row r="367" spans="1:17" ht="15" customHeight="1" x14ac:dyDescent="0.25">
      <c r="A367" s="152">
        <v>44272</v>
      </c>
      <c r="B367" s="13" t="s">
        <v>589</v>
      </c>
      <c r="C367" s="111">
        <v>0.16400000000000001</v>
      </c>
      <c r="D367" s="15">
        <v>75</v>
      </c>
      <c r="E367" s="135" t="s">
        <v>481</v>
      </c>
      <c r="F367" s="135" t="s">
        <v>198</v>
      </c>
      <c r="G367" s="29" t="s">
        <v>237</v>
      </c>
      <c r="H367" s="15">
        <v>75</v>
      </c>
      <c r="I367" s="15">
        <v>25</v>
      </c>
      <c r="J367" s="15">
        <v>0</v>
      </c>
      <c r="M367" s="14">
        <v>3019.2559999999999</v>
      </c>
      <c r="N367" s="18">
        <f t="shared" ref="N367" si="70">M367/60</f>
        <v>50.320933333333329</v>
      </c>
      <c r="O367" s="14">
        <f t="shared" si="68"/>
        <v>0.83868222222222211</v>
      </c>
      <c r="Q367" s="14"/>
    </row>
    <row r="368" spans="1:17" ht="15" customHeight="1" x14ac:dyDescent="0.25">
      <c r="A368" s="152">
        <v>44273</v>
      </c>
      <c r="B368" s="13" t="s">
        <v>590</v>
      </c>
      <c r="C368" s="111">
        <v>0.246</v>
      </c>
      <c r="D368" s="15">
        <v>0</v>
      </c>
      <c r="E368" s="135" t="s">
        <v>230</v>
      </c>
      <c r="F368" s="128" t="s">
        <v>13</v>
      </c>
      <c r="H368" s="15">
        <v>0</v>
      </c>
      <c r="I368" s="15">
        <v>100</v>
      </c>
      <c r="J368" s="15">
        <v>0</v>
      </c>
      <c r="N368" s="14"/>
      <c r="O368" s="14"/>
      <c r="Q368" s="14"/>
    </row>
    <row r="369" spans="1:17" ht="15" customHeight="1" x14ac:dyDescent="0.25">
      <c r="A369" s="152">
        <v>44274</v>
      </c>
      <c r="B369" s="13" t="s">
        <v>591</v>
      </c>
      <c r="C369" s="111">
        <v>0.33500000000000002</v>
      </c>
      <c r="D369" s="15">
        <v>0</v>
      </c>
      <c r="E369" s="135" t="s">
        <v>230</v>
      </c>
      <c r="F369" s="128" t="s">
        <v>13</v>
      </c>
      <c r="H369" s="15">
        <v>0</v>
      </c>
      <c r="I369" s="15">
        <v>100</v>
      </c>
      <c r="J369" s="15">
        <v>0</v>
      </c>
      <c r="N369" s="14"/>
      <c r="O369" s="14"/>
      <c r="Q369" s="14"/>
    </row>
    <row r="370" spans="1:17" ht="15" customHeight="1" x14ac:dyDescent="0.25">
      <c r="A370" s="152">
        <v>44275</v>
      </c>
      <c r="B370" s="13" t="s">
        <v>600</v>
      </c>
      <c r="C370" s="111">
        <v>0.43099999999999999</v>
      </c>
      <c r="D370" s="15">
        <v>0</v>
      </c>
      <c r="E370" s="135" t="s">
        <v>230</v>
      </c>
      <c r="F370" s="128" t="s">
        <v>13</v>
      </c>
      <c r="H370" s="15">
        <v>0</v>
      </c>
      <c r="I370" s="15">
        <v>100</v>
      </c>
      <c r="J370" s="15">
        <v>0</v>
      </c>
      <c r="N370" s="14"/>
      <c r="O370" s="14"/>
      <c r="Q370" s="14"/>
    </row>
    <row r="371" spans="1:17" ht="15" customHeight="1" x14ac:dyDescent="0.25">
      <c r="A371" s="154">
        <v>44291</v>
      </c>
      <c r="B371" s="169" t="s">
        <v>592</v>
      </c>
      <c r="C371" s="153">
        <v>0.42599999999999999</v>
      </c>
      <c r="D371" s="148">
        <v>0</v>
      </c>
      <c r="E371" s="150" t="s">
        <v>230</v>
      </c>
      <c r="F371" s="2" t="s">
        <v>13</v>
      </c>
      <c r="G371" s="170"/>
      <c r="H371" s="15">
        <v>0</v>
      </c>
      <c r="I371" s="15">
        <v>100</v>
      </c>
      <c r="J371" s="15">
        <v>0</v>
      </c>
      <c r="N371" s="14"/>
      <c r="O371" s="14"/>
      <c r="Q371" s="14"/>
    </row>
    <row r="372" spans="1:17" ht="15" customHeight="1" x14ac:dyDescent="0.25">
      <c r="A372" s="106">
        <v>44301</v>
      </c>
      <c r="B372" s="13" t="s">
        <v>593</v>
      </c>
      <c r="C372" s="111">
        <v>0.113</v>
      </c>
      <c r="D372" s="15">
        <v>0</v>
      </c>
      <c r="E372" s="135" t="s">
        <v>230</v>
      </c>
      <c r="F372" s="128" t="s">
        <v>13</v>
      </c>
      <c r="H372" s="15">
        <v>0</v>
      </c>
      <c r="I372" s="15">
        <v>100</v>
      </c>
      <c r="J372" s="15">
        <v>0</v>
      </c>
      <c r="N372" s="14"/>
      <c r="O372" s="14"/>
      <c r="Q372" s="14"/>
    </row>
    <row r="373" spans="1:17" ht="15" customHeight="1" x14ac:dyDescent="0.25">
      <c r="A373" s="106">
        <v>44302</v>
      </c>
      <c r="B373" s="13" t="s">
        <v>594</v>
      </c>
      <c r="C373" s="111">
        <v>0.186</v>
      </c>
      <c r="D373" s="15">
        <v>0</v>
      </c>
      <c r="E373" s="135" t="s">
        <v>230</v>
      </c>
      <c r="F373" s="128" t="s">
        <v>13</v>
      </c>
      <c r="H373" s="15">
        <v>0</v>
      </c>
      <c r="I373" s="15">
        <v>100</v>
      </c>
      <c r="J373" s="15">
        <v>0</v>
      </c>
      <c r="N373" s="14"/>
      <c r="O373" s="14"/>
      <c r="Q373" s="14"/>
    </row>
    <row r="374" spans="1:17" ht="15" customHeight="1" x14ac:dyDescent="0.25">
      <c r="A374" s="106">
        <v>44303</v>
      </c>
      <c r="B374" s="13" t="s">
        <v>595</v>
      </c>
      <c r="C374" s="111">
        <v>0.26900000000000002</v>
      </c>
      <c r="D374" s="15">
        <v>33</v>
      </c>
      <c r="E374" s="135" t="s">
        <v>230</v>
      </c>
      <c r="F374" s="135" t="s">
        <v>199</v>
      </c>
      <c r="G374" s="29" t="s">
        <v>643</v>
      </c>
      <c r="H374" s="15">
        <v>33</v>
      </c>
      <c r="I374" s="15">
        <v>67</v>
      </c>
      <c r="J374" s="15">
        <v>0</v>
      </c>
      <c r="M374" s="14">
        <v>2338.25</v>
      </c>
      <c r="N374" s="18">
        <f t="shared" ref="N374" si="71">M374/60</f>
        <v>38.970833333333331</v>
      </c>
      <c r="O374" s="14">
        <f t="shared" si="68"/>
        <v>0.64951388888888884</v>
      </c>
      <c r="Q374" s="14"/>
    </row>
    <row r="375" spans="1:17" ht="15" customHeight="1" x14ac:dyDescent="0.25">
      <c r="A375" s="106">
        <v>44304</v>
      </c>
      <c r="B375" s="13" t="s">
        <v>596</v>
      </c>
      <c r="C375" s="111">
        <v>0.36199999999999999</v>
      </c>
      <c r="D375" s="15">
        <v>56</v>
      </c>
      <c r="E375" s="135" t="s">
        <v>644</v>
      </c>
      <c r="F375" s="135" t="s">
        <v>198</v>
      </c>
      <c r="H375" s="15">
        <v>56</v>
      </c>
      <c r="I375" s="15">
        <v>44</v>
      </c>
      <c r="J375" s="15">
        <v>0</v>
      </c>
      <c r="M375" s="14">
        <v>5430.1850000000004</v>
      </c>
      <c r="N375" s="18">
        <f t="shared" ref="N375" si="72">M375/60</f>
        <v>90.503083333333336</v>
      </c>
      <c r="O375" s="14">
        <f t="shared" si="68"/>
        <v>1.5083847222222222</v>
      </c>
      <c r="Q375" s="14"/>
    </row>
    <row r="376" spans="1:17" ht="15" customHeight="1" x14ac:dyDescent="0.25">
      <c r="A376" s="106">
        <v>44305</v>
      </c>
      <c r="B376" s="13" t="s">
        <v>597</v>
      </c>
      <c r="C376" s="111">
        <v>0.46200000000000002</v>
      </c>
      <c r="D376" s="15">
        <v>60</v>
      </c>
      <c r="E376" s="135" t="s">
        <v>230</v>
      </c>
      <c r="F376" s="135" t="s">
        <v>645</v>
      </c>
      <c r="G376" s="140" t="s">
        <v>646</v>
      </c>
      <c r="H376" s="15">
        <v>60</v>
      </c>
      <c r="I376" s="15">
        <v>40</v>
      </c>
      <c r="J376" s="15">
        <v>0</v>
      </c>
      <c r="K376" s="15">
        <v>672</v>
      </c>
      <c r="L376" s="18">
        <f>100*K376/1060</f>
        <v>63.39622641509434</v>
      </c>
      <c r="M376" s="14">
        <v>7067.4830000000002</v>
      </c>
      <c r="N376" s="18">
        <f t="shared" ref="N376" si="73">M376/60</f>
        <v>117.79138333333334</v>
      </c>
      <c r="O376" s="14">
        <f t="shared" si="68"/>
        <v>1.9631897222222223</v>
      </c>
      <c r="Q376" s="14"/>
    </row>
    <row r="377" spans="1:17" ht="15" customHeight="1" x14ac:dyDescent="0.25">
      <c r="A377" s="106">
        <v>44331</v>
      </c>
      <c r="B377" s="13" t="s">
        <v>601</v>
      </c>
      <c r="C377" s="111">
        <v>0.14000000000000001</v>
      </c>
      <c r="D377" s="15">
        <v>100</v>
      </c>
      <c r="E377" s="135" t="s">
        <v>647</v>
      </c>
      <c r="F377" s="135" t="s">
        <v>198</v>
      </c>
      <c r="G377" s="12"/>
      <c r="H377" s="15">
        <v>100</v>
      </c>
      <c r="I377" s="15">
        <v>0</v>
      </c>
      <c r="J377" s="15">
        <v>0</v>
      </c>
      <c r="M377" s="14">
        <v>3011.92</v>
      </c>
      <c r="N377" s="18">
        <f t="shared" ref="N377" si="74">M377/60</f>
        <v>50.198666666666668</v>
      </c>
      <c r="O377" s="14">
        <f t="shared" si="68"/>
        <v>0.83664444444444441</v>
      </c>
      <c r="Q377" s="14"/>
    </row>
    <row r="378" spans="1:17" ht="15" customHeight="1" x14ac:dyDescent="0.25">
      <c r="A378" s="106">
        <v>44332</v>
      </c>
      <c r="B378" s="13" t="s">
        <v>146</v>
      </c>
      <c r="C378" s="111">
        <v>0.217</v>
      </c>
      <c r="D378" s="15">
        <v>0</v>
      </c>
      <c r="E378" s="135" t="s">
        <v>230</v>
      </c>
      <c r="F378" s="128" t="s">
        <v>13</v>
      </c>
      <c r="H378" s="15">
        <v>0</v>
      </c>
      <c r="I378" s="15">
        <v>100</v>
      </c>
      <c r="J378" s="15">
        <v>0</v>
      </c>
      <c r="N378" s="14"/>
      <c r="O378" s="14"/>
      <c r="Q378" s="14"/>
    </row>
    <row r="379" spans="1:17" ht="15" customHeight="1" x14ac:dyDescent="0.25">
      <c r="A379" s="106">
        <v>44333</v>
      </c>
      <c r="B379" s="13" t="s">
        <v>602</v>
      </c>
      <c r="C379" s="111">
        <v>0.307</v>
      </c>
      <c r="D379" s="15">
        <v>0</v>
      </c>
      <c r="E379" s="135" t="s">
        <v>230</v>
      </c>
      <c r="F379" s="128" t="s">
        <v>13</v>
      </c>
      <c r="H379" s="15">
        <v>0</v>
      </c>
      <c r="I379" s="15">
        <v>100</v>
      </c>
      <c r="J379" s="15">
        <v>0</v>
      </c>
      <c r="N379" s="14"/>
      <c r="O379" s="14"/>
      <c r="Q379" s="14"/>
    </row>
    <row r="380" spans="1:17" ht="15" customHeight="1" x14ac:dyDescent="0.25">
      <c r="A380" s="106">
        <v>44334</v>
      </c>
      <c r="B380" s="13" t="s">
        <v>603</v>
      </c>
      <c r="C380" s="111">
        <v>0.40699999999999997</v>
      </c>
      <c r="D380" s="15">
        <v>98</v>
      </c>
      <c r="E380" s="135" t="s">
        <v>647</v>
      </c>
      <c r="F380" s="135" t="s">
        <v>216</v>
      </c>
      <c r="G380" s="29" t="s">
        <v>648</v>
      </c>
      <c r="H380" s="15">
        <v>98</v>
      </c>
      <c r="I380" s="15">
        <v>2</v>
      </c>
      <c r="J380" s="15">
        <v>0</v>
      </c>
      <c r="K380" s="15">
        <v>833</v>
      </c>
      <c r="L380" s="18">
        <f>100*K380/1060</f>
        <v>78.584905660377359</v>
      </c>
      <c r="M380" s="14">
        <v>7535.42</v>
      </c>
      <c r="N380" s="18">
        <f t="shared" ref="N380" si="75">M380/60</f>
        <v>125.59033333333333</v>
      </c>
      <c r="O380" s="14">
        <f t="shared" si="68"/>
        <v>2.0931722222222224</v>
      </c>
      <c r="Q380" s="14"/>
    </row>
    <row r="381" spans="1:17" ht="15" customHeight="1" x14ac:dyDescent="0.25">
      <c r="A381" s="154">
        <v>44350</v>
      </c>
      <c r="B381" s="169" t="s">
        <v>599</v>
      </c>
      <c r="C381" s="153">
        <v>0.42599999999999999</v>
      </c>
      <c r="D381" s="148">
        <v>0</v>
      </c>
      <c r="E381" s="150" t="s">
        <v>230</v>
      </c>
      <c r="F381" s="2" t="s">
        <v>13</v>
      </c>
      <c r="G381" s="157"/>
      <c r="H381" s="15">
        <v>0</v>
      </c>
      <c r="I381" s="15">
        <v>100</v>
      </c>
      <c r="J381" s="15">
        <v>0</v>
      </c>
      <c r="L381" s="156"/>
      <c r="N381" s="14"/>
      <c r="O381" s="14"/>
      <c r="Q381" s="14"/>
    </row>
    <row r="382" spans="1:17" ht="15" customHeight="1" x14ac:dyDescent="0.25">
      <c r="A382" s="154">
        <v>44351</v>
      </c>
      <c r="B382" s="169" t="s">
        <v>598</v>
      </c>
      <c r="C382" s="153">
        <v>0.32900000000000001</v>
      </c>
      <c r="D382" s="148">
        <v>33</v>
      </c>
      <c r="E382" s="150" t="s">
        <v>230</v>
      </c>
      <c r="F382" s="150" t="s">
        <v>198</v>
      </c>
      <c r="G382" s="151" t="s">
        <v>649</v>
      </c>
      <c r="H382" s="15">
        <v>33</v>
      </c>
      <c r="I382" s="15">
        <v>67</v>
      </c>
      <c r="J382" s="15">
        <v>0</v>
      </c>
      <c r="M382" s="14">
        <v>460.59800000000001</v>
      </c>
      <c r="N382" s="18">
        <f t="shared" ref="N382" si="76">M382/60</f>
        <v>7.6766333333333332</v>
      </c>
      <c r="O382" s="14">
        <f t="shared" si="68"/>
        <v>0.12794388888888888</v>
      </c>
      <c r="Q382" s="14"/>
    </row>
    <row r="383" spans="1:17" ht="15" customHeight="1" x14ac:dyDescent="0.25">
      <c r="A383" s="106">
        <v>44360</v>
      </c>
      <c r="B383" s="13" t="s">
        <v>604</v>
      </c>
      <c r="C383" s="111">
        <v>0.1</v>
      </c>
      <c r="D383" s="15">
        <v>67</v>
      </c>
      <c r="E383" s="135" t="s">
        <v>230</v>
      </c>
      <c r="F383" s="135" t="s">
        <v>198</v>
      </c>
      <c r="G383" s="29" t="s">
        <v>650</v>
      </c>
      <c r="H383" s="15">
        <v>67</v>
      </c>
      <c r="I383" s="15">
        <v>33</v>
      </c>
      <c r="J383" s="15">
        <v>0</v>
      </c>
      <c r="M383" s="14">
        <v>577.59900000000005</v>
      </c>
      <c r="N383" s="18">
        <f t="shared" ref="N383" si="77">M383/60</f>
        <v>9.6266500000000015</v>
      </c>
      <c r="O383" s="14">
        <f t="shared" si="68"/>
        <v>0.16044416666666669</v>
      </c>
      <c r="Q383" s="14"/>
    </row>
    <row r="384" spans="1:17" ht="15" customHeight="1" x14ac:dyDescent="0.25">
      <c r="A384" s="106">
        <v>44361</v>
      </c>
      <c r="B384" s="13" t="s">
        <v>149</v>
      </c>
      <c r="C384" s="111">
        <v>0.17399999999999999</v>
      </c>
      <c r="D384" s="15">
        <v>0</v>
      </c>
      <c r="E384" s="135" t="s">
        <v>230</v>
      </c>
      <c r="F384" s="128" t="s">
        <v>13</v>
      </c>
      <c r="G384" s="12"/>
      <c r="H384" s="15">
        <v>0</v>
      </c>
      <c r="I384" s="15">
        <v>100</v>
      </c>
      <c r="J384" s="15">
        <v>0</v>
      </c>
      <c r="K384" s="15"/>
      <c r="L384" s="12"/>
      <c r="N384" s="18"/>
      <c r="O384" s="14"/>
      <c r="Q384" s="14"/>
    </row>
    <row r="385" spans="1:17" ht="15" customHeight="1" x14ac:dyDescent="0.25">
      <c r="A385" s="106">
        <v>44362</v>
      </c>
      <c r="B385" s="13" t="s">
        <v>605</v>
      </c>
      <c r="C385" s="111">
        <v>0.26</v>
      </c>
      <c r="D385" s="15">
        <v>55</v>
      </c>
      <c r="E385" s="135" t="s">
        <v>652</v>
      </c>
      <c r="F385" s="135" t="s">
        <v>216</v>
      </c>
      <c r="G385" s="29" t="s">
        <v>651</v>
      </c>
      <c r="H385" s="15">
        <v>55</v>
      </c>
      <c r="I385" s="15">
        <v>45</v>
      </c>
      <c r="J385" s="15">
        <v>0</v>
      </c>
      <c r="M385" s="14">
        <v>2327.3000000000002</v>
      </c>
      <c r="N385" s="18">
        <f t="shared" ref="N385" si="78">M385/60</f>
        <v>38.788333333333334</v>
      </c>
      <c r="O385" s="14">
        <f t="shared" si="68"/>
        <v>0.64647222222222223</v>
      </c>
      <c r="Q385" s="14"/>
    </row>
    <row r="386" spans="1:17" ht="15" customHeight="1" x14ac:dyDescent="0.25">
      <c r="A386" s="106">
        <v>44363</v>
      </c>
      <c r="B386" s="13" t="s">
        <v>606</v>
      </c>
      <c r="C386" s="111">
        <v>0.36</v>
      </c>
      <c r="D386" s="15">
        <v>100</v>
      </c>
      <c r="E386" s="135" t="s">
        <v>230</v>
      </c>
      <c r="F386" s="135" t="s">
        <v>216</v>
      </c>
      <c r="G386" s="12"/>
      <c r="H386" s="15">
        <v>100</v>
      </c>
      <c r="I386" s="15">
        <v>0</v>
      </c>
      <c r="J386" s="15">
        <v>0</v>
      </c>
      <c r="M386" s="14">
        <v>5318.4970000000003</v>
      </c>
      <c r="N386" s="18">
        <f t="shared" ref="N386:N388" si="79">M386/60</f>
        <v>88.641616666666678</v>
      </c>
      <c r="O386" s="14">
        <f t="shared" si="68"/>
        <v>1.4773602777777779</v>
      </c>
      <c r="Q386" s="14"/>
    </row>
    <row r="387" spans="1:17" ht="15" customHeight="1" x14ac:dyDescent="0.25">
      <c r="A387" s="154">
        <v>44380</v>
      </c>
      <c r="B387" s="169" t="s">
        <v>654</v>
      </c>
      <c r="C387" s="153">
        <v>0.39</v>
      </c>
      <c r="D387" s="148">
        <v>100</v>
      </c>
      <c r="E387" s="150" t="s">
        <v>209</v>
      </c>
      <c r="F387" s="150" t="s">
        <v>198</v>
      </c>
      <c r="G387" s="154" t="s">
        <v>653</v>
      </c>
      <c r="H387" s="15">
        <v>100</v>
      </c>
      <c r="I387" s="15">
        <v>0</v>
      </c>
      <c r="J387" s="15">
        <v>0</v>
      </c>
      <c r="K387" s="15">
        <v>849</v>
      </c>
      <c r="L387" s="18">
        <f>100*K387/1060</f>
        <v>80.094339622641513</v>
      </c>
      <c r="M387" s="14">
        <v>4852.1000000000004</v>
      </c>
      <c r="N387" s="14">
        <f t="shared" si="79"/>
        <v>80.868333333333339</v>
      </c>
      <c r="O387" s="14">
        <f t="shared" si="68"/>
        <v>1.3478055555555557</v>
      </c>
      <c r="Q387" s="14"/>
    </row>
    <row r="388" spans="1:17" ht="15" customHeight="1" x14ac:dyDescent="0.25">
      <c r="A388" s="154">
        <v>44381</v>
      </c>
      <c r="B388" s="169" t="s">
        <v>655</v>
      </c>
      <c r="C388" s="153">
        <v>0.29799999999999999</v>
      </c>
      <c r="D388" s="132">
        <v>100</v>
      </c>
      <c r="E388" s="2">
        <v>0</v>
      </c>
      <c r="F388" s="2" t="s">
        <v>19</v>
      </c>
      <c r="G388" s="151"/>
      <c r="H388" s="15">
        <v>100</v>
      </c>
      <c r="I388" s="15">
        <v>0</v>
      </c>
      <c r="J388" s="15">
        <v>0</v>
      </c>
      <c r="M388" s="14">
        <v>3843.81</v>
      </c>
      <c r="N388" s="14">
        <f t="shared" si="79"/>
        <v>64.063500000000005</v>
      </c>
      <c r="O388" s="14">
        <f t="shared" si="68"/>
        <v>1.067725</v>
      </c>
      <c r="Q388" s="14"/>
    </row>
    <row r="389" spans="1:17" ht="15" customHeight="1" x14ac:dyDescent="0.25">
      <c r="A389" s="154">
        <v>44382</v>
      </c>
      <c r="B389" s="169" t="s">
        <v>148</v>
      </c>
      <c r="C389" s="153">
        <v>0.214</v>
      </c>
      <c r="D389" s="132">
        <v>100</v>
      </c>
      <c r="E389" s="150" t="s">
        <v>209</v>
      </c>
      <c r="F389" s="2" t="s">
        <v>19</v>
      </c>
      <c r="G389" s="151"/>
      <c r="H389" s="15">
        <v>100</v>
      </c>
      <c r="I389" s="15">
        <v>0</v>
      </c>
      <c r="J389" s="15">
        <v>0</v>
      </c>
      <c r="M389" s="14">
        <v>2423</v>
      </c>
      <c r="N389" s="14">
        <f t="shared" ref="N389:N390" si="80">M389/60</f>
        <v>40.383333333333333</v>
      </c>
      <c r="O389" s="14">
        <f t="shared" si="68"/>
        <v>0.67305555555555552</v>
      </c>
      <c r="Q389" s="14"/>
    </row>
    <row r="390" spans="1:17" ht="15" customHeight="1" x14ac:dyDescent="0.25">
      <c r="A390" s="154">
        <v>44383</v>
      </c>
      <c r="B390" s="169" t="s">
        <v>656</v>
      </c>
      <c r="C390" s="153">
        <v>0.14000000000000001</v>
      </c>
      <c r="D390" s="148">
        <v>44</v>
      </c>
      <c r="E390" s="150" t="s">
        <v>647</v>
      </c>
      <c r="F390" s="2" t="s">
        <v>19</v>
      </c>
      <c r="G390" s="154" t="s">
        <v>657</v>
      </c>
      <c r="H390" s="15">
        <v>44</v>
      </c>
      <c r="I390" s="15">
        <v>56</v>
      </c>
      <c r="J390" s="15">
        <v>0</v>
      </c>
      <c r="M390" s="14">
        <v>561.9</v>
      </c>
      <c r="N390" s="14">
        <f t="shared" si="80"/>
        <v>9.3650000000000002</v>
      </c>
      <c r="O390" s="14">
        <f t="shared" si="68"/>
        <v>0.15608333333333332</v>
      </c>
      <c r="Q390" s="14"/>
    </row>
    <row r="391" spans="1:17" ht="15" customHeight="1" x14ac:dyDescent="0.25">
      <c r="A391" s="106">
        <v>44391</v>
      </c>
      <c r="B391" s="13" t="s">
        <v>607</v>
      </c>
      <c r="C391" s="111">
        <v>0.22500000000000001</v>
      </c>
      <c r="D391" s="15">
        <v>100</v>
      </c>
      <c r="E391" s="135" t="s">
        <v>230</v>
      </c>
      <c r="F391" s="135" t="s">
        <v>198</v>
      </c>
      <c r="G391" s="106" t="s">
        <v>657</v>
      </c>
      <c r="H391" s="15">
        <v>100</v>
      </c>
      <c r="I391" s="15">
        <v>0</v>
      </c>
      <c r="J391" s="15">
        <v>0</v>
      </c>
      <c r="M391" s="14">
        <v>2009.6</v>
      </c>
      <c r="N391" s="14">
        <f t="shared" ref="N391:N395" si="81">M391/60</f>
        <v>33.493333333333332</v>
      </c>
      <c r="O391" s="14">
        <f t="shared" si="68"/>
        <v>0.55822222222222218</v>
      </c>
      <c r="Q391" s="14"/>
    </row>
    <row r="392" spans="1:17" ht="15" customHeight="1" x14ac:dyDescent="0.25">
      <c r="A392" s="106">
        <v>44392</v>
      </c>
      <c r="B392" s="13" t="s">
        <v>82</v>
      </c>
      <c r="C392" s="111">
        <v>0.32400000000000001</v>
      </c>
      <c r="D392" s="15">
        <v>100</v>
      </c>
      <c r="E392" s="135" t="s">
        <v>647</v>
      </c>
      <c r="F392" s="135" t="s">
        <v>216</v>
      </c>
      <c r="G392" s="106" t="s">
        <v>657</v>
      </c>
      <c r="H392" s="15">
        <v>100</v>
      </c>
      <c r="I392" s="15">
        <v>0</v>
      </c>
      <c r="J392" s="15">
        <v>0</v>
      </c>
      <c r="K392" s="15"/>
      <c r="M392" s="14">
        <v>3215.12</v>
      </c>
      <c r="N392" s="14">
        <f t="shared" si="81"/>
        <v>53.585333333333331</v>
      </c>
      <c r="O392" s="14">
        <f t="shared" si="68"/>
        <v>0.89308888888888882</v>
      </c>
      <c r="Q392" s="14"/>
    </row>
    <row r="393" spans="1:17" ht="15" customHeight="1" x14ac:dyDescent="0.25">
      <c r="A393" s="106">
        <v>44393</v>
      </c>
      <c r="B393" s="13" t="s">
        <v>605</v>
      </c>
      <c r="C393" s="111">
        <v>0.434</v>
      </c>
      <c r="D393" s="15">
        <v>100</v>
      </c>
      <c r="E393" s="135" t="s">
        <v>647</v>
      </c>
      <c r="F393" s="135" t="s">
        <v>216</v>
      </c>
      <c r="G393" s="106" t="s">
        <v>658</v>
      </c>
      <c r="H393" s="15">
        <v>100</v>
      </c>
      <c r="I393" s="15">
        <v>0</v>
      </c>
      <c r="J393" s="15">
        <v>0</v>
      </c>
      <c r="K393" s="15">
        <f>1080-252</f>
        <v>828</v>
      </c>
      <c r="L393" s="18">
        <f>100*K393/1060</f>
        <v>78.113207547169807</v>
      </c>
      <c r="M393" s="14">
        <v>4068.125</v>
      </c>
      <c r="N393" s="14">
        <f t="shared" si="81"/>
        <v>67.802083333333329</v>
      </c>
      <c r="O393" s="14">
        <f t="shared" si="68"/>
        <v>1.1300347222222222</v>
      </c>
      <c r="Q393" s="14"/>
    </row>
    <row r="394" spans="1:17" ht="15" customHeight="1" x14ac:dyDescent="0.25">
      <c r="A394" s="154">
        <v>44410</v>
      </c>
      <c r="B394" s="169" t="s">
        <v>660</v>
      </c>
      <c r="C394" s="153">
        <v>0.36499999999999999</v>
      </c>
      <c r="D394" s="148">
        <v>100</v>
      </c>
      <c r="E394" s="150" t="s">
        <v>659</v>
      </c>
      <c r="F394" s="2" t="s">
        <v>19</v>
      </c>
      <c r="G394" s="154" t="s">
        <v>657</v>
      </c>
      <c r="H394" s="15">
        <v>100</v>
      </c>
      <c r="I394" s="15">
        <v>0</v>
      </c>
      <c r="J394" s="15">
        <v>0</v>
      </c>
      <c r="M394" s="14">
        <v>6414.38</v>
      </c>
      <c r="N394" s="14">
        <f t="shared" si="81"/>
        <v>106.90633333333334</v>
      </c>
      <c r="O394" s="14">
        <f t="shared" si="68"/>
        <v>1.7817722222222223</v>
      </c>
      <c r="Q394" s="14"/>
    </row>
    <row r="395" spans="1:17" ht="15" customHeight="1" x14ac:dyDescent="0.25">
      <c r="A395" s="154">
        <v>44411</v>
      </c>
      <c r="B395" s="169" t="s">
        <v>661</v>
      </c>
      <c r="C395" s="153">
        <v>0.27400000000000002</v>
      </c>
      <c r="D395" s="148">
        <v>10</v>
      </c>
      <c r="E395" s="150" t="s">
        <v>230</v>
      </c>
      <c r="F395" s="150" t="s">
        <v>198</v>
      </c>
      <c r="G395" s="154" t="s">
        <v>664</v>
      </c>
      <c r="H395" s="15">
        <v>10</v>
      </c>
      <c r="I395" s="15">
        <v>0</v>
      </c>
      <c r="J395" s="15">
        <v>90</v>
      </c>
      <c r="M395" s="14">
        <v>650.9</v>
      </c>
      <c r="N395" s="14">
        <f t="shared" si="81"/>
        <v>10.848333333333333</v>
      </c>
      <c r="O395" s="14">
        <f t="shared" si="68"/>
        <v>0.18080555555555555</v>
      </c>
      <c r="Q395" s="14"/>
    </row>
    <row r="396" spans="1:17" ht="15" customHeight="1" x14ac:dyDescent="0.25">
      <c r="A396" s="154">
        <v>44412</v>
      </c>
      <c r="B396" s="169" t="s">
        <v>662</v>
      </c>
      <c r="C396" s="153">
        <v>0.191</v>
      </c>
      <c r="D396" s="148">
        <v>0</v>
      </c>
      <c r="E396" s="150" t="s">
        <v>230</v>
      </c>
      <c r="F396" s="150" t="s">
        <v>198</v>
      </c>
      <c r="G396" s="151" t="s">
        <v>665</v>
      </c>
      <c r="H396" s="15">
        <v>0</v>
      </c>
      <c r="I396" s="15">
        <v>0</v>
      </c>
      <c r="J396" s="15">
        <v>100</v>
      </c>
      <c r="K396" s="15"/>
      <c r="N396" s="14"/>
      <c r="O396" s="14"/>
      <c r="Q396" s="14"/>
    </row>
    <row r="397" spans="1:17" ht="15" customHeight="1" x14ac:dyDescent="0.25">
      <c r="A397" s="154">
        <v>44413</v>
      </c>
      <c r="B397" s="169" t="s">
        <v>663</v>
      </c>
      <c r="C397" s="153">
        <v>0.11899999999999999</v>
      </c>
      <c r="D397" s="148">
        <v>0</v>
      </c>
      <c r="E397" s="150" t="s">
        <v>230</v>
      </c>
      <c r="F397" s="150" t="s">
        <v>198</v>
      </c>
      <c r="G397" s="151" t="s">
        <v>665</v>
      </c>
      <c r="H397" s="15">
        <v>0</v>
      </c>
      <c r="I397" s="15">
        <v>0</v>
      </c>
      <c r="J397" s="15">
        <v>100</v>
      </c>
      <c r="O397" s="14"/>
      <c r="Q397" s="14"/>
    </row>
    <row r="398" spans="1:17" ht="15" customHeight="1" x14ac:dyDescent="0.25">
      <c r="A398" s="106">
        <v>44421</v>
      </c>
      <c r="B398" s="13" t="s">
        <v>608</v>
      </c>
      <c r="C398" s="111">
        <v>0.29399999999999998</v>
      </c>
      <c r="D398" s="15">
        <v>0</v>
      </c>
      <c r="E398" s="135" t="s">
        <v>230</v>
      </c>
      <c r="G398" s="29" t="s">
        <v>665</v>
      </c>
      <c r="H398" s="15">
        <v>0</v>
      </c>
      <c r="I398" s="15">
        <v>0</v>
      </c>
      <c r="J398" s="15">
        <v>100</v>
      </c>
      <c r="N398" s="14"/>
      <c r="O398" s="14"/>
      <c r="Q398" s="14"/>
    </row>
    <row r="399" spans="1:17" ht="15" customHeight="1" x14ac:dyDescent="0.25">
      <c r="A399" s="106">
        <v>44422</v>
      </c>
      <c r="B399" s="13" t="s">
        <v>609</v>
      </c>
      <c r="C399" s="111">
        <v>0.40400000000000003</v>
      </c>
      <c r="D399" s="15">
        <v>0</v>
      </c>
      <c r="E399" s="135" t="s">
        <v>230</v>
      </c>
      <c r="G399" s="29" t="s">
        <v>665</v>
      </c>
      <c r="H399" s="15">
        <v>0</v>
      </c>
      <c r="I399" s="15">
        <v>0</v>
      </c>
      <c r="J399" s="15">
        <v>100</v>
      </c>
      <c r="N399" s="14"/>
      <c r="O399" s="14"/>
      <c r="Q399" s="14"/>
    </row>
    <row r="400" spans="1:17" ht="15" customHeight="1" x14ac:dyDescent="0.25">
      <c r="A400" s="154">
        <v>44439</v>
      </c>
      <c r="B400" s="169" t="s">
        <v>610</v>
      </c>
      <c r="C400" s="153">
        <v>0.437</v>
      </c>
      <c r="D400" s="148">
        <v>0</v>
      </c>
      <c r="E400" s="150" t="s">
        <v>230</v>
      </c>
      <c r="F400" s="150"/>
      <c r="G400" s="151" t="s">
        <v>665</v>
      </c>
      <c r="H400" s="15">
        <v>0</v>
      </c>
      <c r="I400" s="15">
        <v>0</v>
      </c>
      <c r="J400" s="15">
        <v>100</v>
      </c>
      <c r="N400" s="14"/>
      <c r="O400" s="14"/>
      <c r="Q400" s="14"/>
    </row>
    <row r="401" spans="1:17" ht="15" customHeight="1" x14ac:dyDescent="0.25">
      <c r="A401" s="154">
        <v>44440</v>
      </c>
      <c r="B401" s="169" t="s">
        <v>611</v>
      </c>
      <c r="C401" s="153">
        <v>0.34200000000000003</v>
      </c>
      <c r="D401" s="148">
        <v>0</v>
      </c>
      <c r="E401" s="150" t="s">
        <v>230</v>
      </c>
      <c r="F401" s="150"/>
      <c r="G401" s="151" t="s">
        <v>665</v>
      </c>
      <c r="H401" s="15">
        <v>0</v>
      </c>
      <c r="I401" s="15">
        <v>0</v>
      </c>
      <c r="J401" s="15">
        <v>100</v>
      </c>
      <c r="N401" s="14"/>
      <c r="O401" s="14"/>
      <c r="Q401" s="14"/>
    </row>
    <row r="402" spans="1:17" ht="15" customHeight="1" x14ac:dyDescent="0.25">
      <c r="A402" s="154">
        <v>44441</v>
      </c>
      <c r="B402" s="169" t="s">
        <v>613</v>
      </c>
      <c r="C402" s="153">
        <v>0.25</v>
      </c>
      <c r="D402" s="148">
        <v>0</v>
      </c>
      <c r="E402" s="150" t="s">
        <v>230</v>
      </c>
      <c r="F402" s="150"/>
      <c r="G402" s="151" t="s">
        <v>665</v>
      </c>
      <c r="H402" s="15">
        <v>0</v>
      </c>
      <c r="I402" s="15">
        <v>0</v>
      </c>
      <c r="J402" s="15">
        <v>100</v>
      </c>
      <c r="N402" s="14"/>
      <c r="O402" s="14"/>
      <c r="Q402" s="14"/>
    </row>
    <row r="403" spans="1:17" ht="15" customHeight="1" x14ac:dyDescent="0.25">
      <c r="A403" s="154">
        <v>44442</v>
      </c>
      <c r="B403" s="169" t="s">
        <v>612</v>
      </c>
      <c r="C403" s="153">
        <v>0.16700000000000001</v>
      </c>
      <c r="D403" s="148">
        <v>0</v>
      </c>
      <c r="E403" s="150" t="s">
        <v>230</v>
      </c>
      <c r="F403" s="150"/>
      <c r="G403" s="151" t="s">
        <v>665</v>
      </c>
      <c r="H403" s="15">
        <v>0</v>
      </c>
      <c r="I403" s="15">
        <v>0</v>
      </c>
      <c r="J403" s="15">
        <v>100</v>
      </c>
      <c r="N403" s="14"/>
      <c r="O403" s="14"/>
      <c r="Q403" s="14"/>
    </row>
    <row r="404" spans="1:17" ht="15" customHeight="1" x14ac:dyDescent="0.25">
      <c r="A404" s="106">
        <v>44451</v>
      </c>
      <c r="B404" s="13" t="s">
        <v>167</v>
      </c>
      <c r="C404" s="111">
        <v>0.374</v>
      </c>
      <c r="D404" s="15">
        <v>0</v>
      </c>
      <c r="E404" s="135" t="s">
        <v>230</v>
      </c>
      <c r="G404" s="29" t="s">
        <v>665</v>
      </c>
      <c r="H404" s="15">
        <v>0</v>
      </c>
      <c r="I404" s="15">
        <v>0</v>
      </c>
      <c r="J404" s="15">
        <v>100</v>
      </c>
      <c r="N404" s="14"/>
      <c r="O404" s="14"/>
      <c r="Q404" s="14"/>
    </row>
    <row r="405" spans="1:17" ht="15" customHeight="1" x14ac:dyDescent="0.25">
      <c r="A405" s="154">
        <v>44469</v>
      </c>
      <c r="B405" s="169" t="s">
        <v>614</v>
      </c>
      <c r="C405" s="153">
        <v>0.41399999999999998</v>
      </c>
      <c r="D405" s="148">
        <v>0</v>
      </c>
      <c r="E405" s="150" t="s">
        <v>230</v>
      </c>
      <c r="F405" s="2" t="s">
        <v>13</v>
      </c>
      <c r="G405" s="170"/>
      <c r="H405" s="15">
        <v>0</v>
      </c>
      <c r="I405" s="15">
        <v>100</v>
      </c>
      <c r="J405" s="15">
        <v>0</v>
      </c>
      <c r="N405" s="14"/>
      <c r="O405" s="14"/>
      <c r="Q405" s="14"/>
    </row>
    <row r="406" spans="1:17" ht="15" customHeight="1" x14ac:dyDescent="0.25">
      <c r="A406" s="154">
        <v>44470</v>
      </c>
      <c r="B406" s="169" t="s">
        <v>615</v>
      </c>
      <c r="C406" s="153">
        <v>0.316</v>
      </c>
      <c r="D406" s="148">
        <v>0</v>
      </c>
      <c r="E406" s="150" t="s">
        <v>230</v>
      </c>
      <c r="F406" s="2" t="s">
        <v>13</v>
      </c>
      <c r="G406" s="170"/>
      <c r="H406" s="15">
        <v>0</v>
      </c>
      <c r="I406" s="15">
        <v>100</v>
      </c>
      <c r="J406" s="15">
        <v>0</v>
      </c>
      <c r="N406" s="14"/>
      <c r="O406" s="14"/>
      <c r="Q406" s="14"/>
    </row>
    <row r="407" spans="1:17" ht="15" customHeight="1" x14ac:dyDescent="0.25">
      <c r="A407" s="154">
        <v>44471</v>
      </c>
      <c r="B407" s="169" t="s">
        <v>616</v>
      </c>
      <c r="C407" s="153">
        <v>0.222</v>
      </c>
      <c r="D407" s="148">
        <v>0</v>
      </c>
      <c r="E407" s="150" t="s">
        <v>230</v>
      </c>
      <c r="F407" s="2" t="s">
        <v>13</v>
      </c>
      <c r="G407" s="170"/>
      <c r="H407" s="15">
        <v>0</v>
      </c>
      <c r="I407" s="15">
        <v>100</v>
      </c>
      <c r="J407" s="15">
        <v>0</v>
      </c>
      <c r="N407" s="14"/>
      <c r="O407" s="14"/>
      <c r="Q407" s="14"/>
    </row>
    <row r="408" spans="1:17" ht="15" customHeight="1" x14ac:dyDescent="0.25">
      <c r="A408" s="154">
        <v>44472</v>
      </c>
      <c r="B408" s="169" t="s">
        <v>617</v>
      </c>
      <c r="C408" s="153">
        <v>0.13800000000000001</v>
      </c>
      <c r="D408" s="148">
        <v>95</v>
      </c>
      <c r="E408" s="150" t="s">
        <v>647</v>
      </c>
      <c r="F408" s="150" t="s">
        <v>198</v>
      </c>
      <c r="G408" s="151"/>
      <c r="H408" s="15">
        <v>95</v>
      </c>
      <c r="I408" s="15">
        <v>5</v>
      </c>
      <c r="J408" s="15">
        <v>0</v>
      </c>
      <c r="M408" s="14">
        <v>3368.58</v>
      </c>
      <c r="N408" s="14">
        <f t="shared" ref="N408" si="82">M408/60</f>
        <v>56.143000000000001</v>
      </c>
      <c r="O408" s="14">
        <f t="shared" si="68"/>
        <v>0.93571666666666664</v>
      </c>
      <c r="Q408" s="14"/>
    </row>
    <row r="409" spans="1:17" ht="15" customHeight="1" x14ac:dyDescent="0.25">
      <c r="A409" s="106">
        <v>44480</v>
      </c>
      <c r="B409" s="13" t="s">
        <v>667</v>
      </c>
      <c r="C409" s="111">
        <v>0.34</v>
      </c>
      <c r="D409" s="15">
        <v>100</v>
      </c>
      <c r="E409" s="135" t="s">
        <v>647</v>
      </c>
      <c r="F409" s="135" t="s">
        <v>199</v>
      </c>
      <c r="H409" s="15">
        <v>100</v>
      </c>
      <c r="I409" s="15">
        <v>0</v>
      </c>
      <c r="J409" s="15">
        <v>0</v>
      </c>
      <c r="M409" s="14">
        <v>1717.87</v>
      </c>
      <c r="N409" s="14">
        <f t="shared" ref="N409:N410" si="83">M409/60</f>
        <v>28.631166666666665</v>
      </c>
      <c r="O409" s="14">
        <f t="shared" si="68"/>
        <v>0.47718611111111109</v>
      </c>
      <c r="Q409" s="14"/>
    </row>
    <row r="410" spans="1:17" ht="15" customHeight="1" x14ac:dyDescent="0.25">
      <c r="A410" s="106">
        <v>44481</v>
      </c>
      <c r="B410" s="13" t="s">
        <v>668</v>
      </c>
      <c r="C410" s="111">
        <v>0.45800000000000002</v>
      </c>
      <c r="D410" s="15">
        <v>100</v>
      </c>
      <c r="E410" s="135" t="s">
        <v>644</v>
      </c>
      <c r="F410" s="135" t="s">
        <v>216</v>
      </c>
      <c r="G410" s="140" t="s">
        <v>666</v>
      </c>
      <c r="H410" s="15">
        <v>100</v>
      </c>
      <c r="I410" s="15">
        <v>0</v>
      </c>
      <c r="J410" s="15">
        <v>0</v>
      </c>
      <c r="K410" s="124">
        <v>729</v>
      </c>
      <c r="L410" s="18">
        <f>100*K410/1060</f>
        <v>68.773584905660371</v>
      </c>
      <c r="M410" s="14">
        <v>3801.7159999999999</v>
      </c>
      <c r="N410" s="14">
        <f t="shared" si="83"/>
        <v>63.361933333333333</v>
      </c>
      <c r="O410" s="14">
        <f t="shared" si="68"/>
        <v>1.0560322222222223</v>
      </c>
      <c r="Q410" s="14"/>
    </row>
    <row r="411" spans="1:17" ht="15" customHeight="1" x14ac:dyDescent="0.25">
      <c r="A411" s="154">
        <v>44499</v>
      </c>
      <c r="B411" s="169" t="s">
        <v>618</v>
      </c>
      <c r="C411" s="153">
        <v>0.38400000000000001</v>
      </c>
      <c r="D411" s="148">
        <v>0</v>
      </c>
      <c r="E411" s="150" t="s">
        <v>230</v>
      </c>
      <c r="F411" s="2" t="s">
        <v>13</v>
      </c>
      <c r="G411" s="170"/>
      <c r="H411" s="15">
        <v>0</v>
      </c>
      <c r="I411" s="15">
        <v>100</v>
      </c>
      <c r="J411" s="15">
        <v>0</v>
      </c>
      <c r="O411" s="14"/>
    </row>
    <row r="412" spans="1:17" ht="15" customHeight="1" x14ac:dyDescent="0.25">
      <c r="A412" s="154">
        <v>44500</v>
      </c>
      <c r="B412" s="169" t="s">
        <v>619</v>
      </c>
      <c r="C412" s="153">
        <v>0.27</v>
      </c>
      <c r="D412" s="148">
        <v>0</v>
      </c>
      <c r="E412" s="150" t="s">
        <v>230</v>
      </c>
      <c r="F412" s="2" t="s">
        <v>13</v>
      </c>
      <c r="G412" s="170"/>
      <c r="H412" s="15">
        <v>0</v>
      </c>
      <c r="I412" s="15">
        <v>100</v>
      </c>
      <c r="J412" s="15">
        <v>0</v>
      </c>
      <c r="O412" s="14"/>
      <c r="Q412" s="14"/>
    </row>
    <row r="413" spans="1:17" ht="15" customHeight="1" x14ac:dyDescent="0.25">
      <c r="A413" s="154">
        <v>44501</v>
      </c>
      <c r="B413" s="169" t="s">
        <v>620</v>
      </c>
      <c r="C413" s="153">
        <v>0.187</v>
      </c>
      <c r="D413" s="148">
        <v>0</v>
      </c>
      <c r="E413" s="150" t="s">
        <v>230</v>
      </c>
      <c r="F413" s="2" t="s">
        <v>13</v>
      </c>
      <c r="G413" s="170"/>
      <c r="H413" s="15">
        <v>0</v>
      </c>
      <c r="I413" s="15">
        <v>100</v>
      </c>
      <c r="J413" s="15">
        <v>0</v>
      </c>
      <c r="O413" s="14"/>
    </row>
    <row r="414" spans="1:17" ht="15" customHeight="1" x14ac:dyDescent="0.25">
      <c r="A414" s="154">
        <v>44502</v>
      </c>
      <c r="B414" s="169" t="s">
        <v>621</v>
      </c>
      <c r="C414" s="153">
        <v>0.10100000000000001</v>
      </c>
      <c r="D414" s="148">
        <v>0</v>
      </c>
      <c r="E414" s="150" t="s">
        <v>230</v>
      </c>
      <c r="F414" s="2" t="s">
        <v>13</v>
      </c>
      <c r="G414" s="170"/>
      <c r="H414" s="15">
        <v>0</v>
      </c>
      <c r="I414" s="15">
        <v>100</v>
      </c>
      <c r="J414" s="15">
        <v>0</v>
      </c>
      <c r="N414" s="14"/>
      <c r="O414" s="14"/>
      <c r="Q414" s="14"/>
    </row>
    <row r="415" spans="1:17" ht="15" customHeight="1" x14ac:dyDescent="0.25">
      <c r="A415" s="106">
        <v>44509</v>
      </c>
      <c r="B415" s="13" t="s">
        <v>622</v>
      </c>
      <c r="C415" s="111">
        <v>0.30199999999999999</v>
      </c>
      <c r="D415" s="15">
        <v>0</v>
      </c>
      <c r="E415" s="135" t="s">
        <v>230</v>
      </c>
      <c r="F415" s="128" t="s">
        <v>13</v>
      </c>
      <c r="G415" s="168"/>
      <c r="H415" s="15">
        <v>0</v>
      </c>
      <c r="I415" s="15">
        <v>100</v>
      </c>
      <c r="J415" s="15">
        <v>0</v>
      </c>
      <c r="L415" s="14"/>
      <c r="N415" s="14"/>
      <c r="O415" s="14"/>
      <c r="Q415" s="14"/>
    </row>
    <row r="416" spans="1:17" ht="15" customHeight="1" x14ac:dyDescent="0.25">
      <c r="A416" s="106">
        <v>44510</v>
      </c>
      <c r="B416" s="13" t="s">
        <v>623</v>
      </c>
      <c r="C416" s="111">
        <v>0.41699999999999998</v>
      </c>
      <c r="D416" s="15">
        <v>0</v>
      </c>
      <c r="E416" s="135" t="s">
        <v>230</v>
      </c>
      <c r="F416" s="128" t="s">
        <v>13</v>
      </c>
      <c r="G416" s="168"/>
      <c r="H416" s="15">
        <v>0</v>
      </c>
      <c r="I416" s="15">
        <v>100</v>
      </c>
      <c r="J416" s="15">
        <v>0</v>
      </c>
      <c r="L416" s="14"/>
      <c r="N416" s="14"/>
      <c r="O416" s="14"/>
      <c r="Q416" s="14"/>
    </row>
    <row r="417" spans="1:17" ht="15" customHeight="1" x14ac:dyDescent="0.25">
      <c r="A417" s="154">
        <v>44528</v>
      </c>
      <c r="B417" s="169" t="s">
        <v>624</v>
      </c>
      <c r="C417" s="153">
        <v>0.45100000000000001</v>
      </c>
      <c r="D417" s="148">
        <v>46</v>
      </c>
      <c r="E417" s="150" t="s">
        <v>230</v>
      </c>
      <c r="F417" s="150" t="s">
        <v>645</v>
      </c>
      <c r="G417" s="145" t="s">
        <v>686</v>
      </c>
      <c r="H417" s="15">
        <v>46</v>
      </c>
      <c r="I417" s="15">
        <v>54</v>
      </c>
      <c r="J417" s="15">
        <v>0</v>
      </c>
      <c r="K417" s="124">
        <v>548</v>
      </c>
      <c r="L417" s="18">
        <f>100*K417/1060</f>
        <v>51.698113207547166</v>
      </c>
      <c r="M417" s="14">
        <v>5561.29</v>
      </c>
      <c r="N417" s="14">
        <f t="shared" ref="N417" si="84">M417/60</f>
        <v>92.68816666666666</v>
      </c>
      <c r="O417" s="14">
        <f t="shared" si="68"/>
        <v>1.5448027777777777</v>
      </c>
      <c r="Q417" s="14"/>
    </row>
    <row r="418" spans="1:17" ht="15" customHeight="1" x14ac:dyDescent="0.25">
      <c r="A418" s="154">
        <v>44529</v>
      </c>
      <c r="B418" s="169" t="s">
        <v>411</v>
      </c>
      <c r="C418" s="153">
        <v>0.34200000000000003</v>
      </c>
      <c r="D418" s="148">
        <v>0</v>
      </c>
      <c r="E418" s="150" t="s">
        <v>230</v>
      </c>
      <c r="F418" s="2" t="s">
        <v>13</v>
      </c>
      <c r="G418" s="170"/>
      <c r="H418" s="15">
        <v>0</v>
      </c>
      <c r="I418" s="15">
        <v>100</v>
      </c>
      <c r="J418" s="15">
        <v>0</v>
      </c>
      <c r="N418" s="14"/>
      <c r="O418" s="14"/>
      <c r="Q418" s="14"/>
    </row>
    <row r="419" spans="1:17" ht="15" customHeight="1" x14ac:dyDescent="0.25">
      <c r="A419" s="154">
        <v>44530</v>
      </c>
      <c r="B419" s="169" t="s">
        <v>625</v>
      </c>
      <c r="C419" s="153">
        <v>0.23699999999999999</v>
      </c>
      <c r="D419" s="148">
        <v>0</v>
      </c>
      <c r="E419" s="150" t="s">
        <v>230</v>
      </c>
      <c r="F419" s="2" t="s">
        <v>13</v>
      </c>
      <c r="G419" s="170"/>
      <c r="H419" s="15">
        <v>0</v>
      </c>
      <c r="I419" s="15">
        <v>100</v>
      </c>
      <c r="J419" s="15">
        <v>0</v>
      </c>
      <c r="N419" s="14"/>
      <c r="O419" s="14"/>
      <c r="Q419" s="14"/>
    </row>
    <row r="420" spans="1:17" ht="15" customHeight="1" x14ac:dyDescent="0.25">
      <c r="A420" s="154">
        <v>44531</v>
      </c>
      <c r="B420" s="169" t="s">
        <v>617</v>
      </c>
      <c r="C420" s="153">
        <v>0.14199999999999999</v>
      </c>
      <c r="D420" s="148">
        <v>100</v>
      </c>
      <c r="E420" s="150" t="s">
        <v>209</v>
      </c>
      <c r="F420" s="150" t="s">
        <v>199</v>
      </c>
      <c r="G420" s="154" t="s">
        <v>687</v>
      </c>
      <c r="H420" s="15">
        <v>100</v>
      </c>
      <c r="I420" s="15">
        <v>0</v>
      </c>
      <c r="J420" s="15">
        <v>0</v>
      </c>
      <c r="M420" s="14">
        <v>3525.74</v>
      </c>
      <c r="N420" s="14">
        <f t="shared" ref="N420" si="85">M420/60</f>
        <v>58.762333333333331</v>
      </c>
      <c r="O420" s="14">
        <f t="shared" si="68"/>
        <v>0.9793722222222222</v>
      </c>
      <c r="Q420" s="14"/>
    </row>
    <row r="421" spans="1:17" ht="15" customHeight="1" x14ac:dyDescent="0.25">
      <c r="A421" s="106">
        <v>44537</v>
      </c>
      <c r="B421" s="13" t="s">
        <v>627</v>
      </c>
      <c r="C421" s="111">
        <v>0.157</v>
      </c>
      <c r="D421" s="15">
        <v>0</v>
      </c>
      <c r="E421" s="135" t="s">
        <v>230</v>
      </c>
      <c r="F421" s="128" t="s">
        <v>13</v>
      </c>
      <c r="H421" s="15">
        <v>0</v>
      </c>
      <c r="I421" s="15">
        <v>100</v>
      </c>
      <c r="J421" s="15">
        <v>0</v>
      </c>
      <c r="N421" s="14"/>
      <c r="O421" s="14"/>
      <c r="Q421" s="14"/>
    </row>
    <row r="422" spans="1:17" ht="15" customHeight="1" x14ac:dyDescent="0.25">
      <c r="A422" s="106">
        <v>44538</v>
      </c>
      <c r="B422" s="13" t="s">
        <v>626</v>
      </c>
      <c r="C422" s="111">
        <v>0.25600000000000001</v>
      </c>
      <c r="D422" s="15">
        <v>100</v>
      </c>
      <c r="E422" s="135" t="s">
        <v>644</v>
      </c>
      <c r="F422" s="135" t="s">
        <v>199</v>
      </c>
      <c r="G422" s="29" t="s">
        <v>687</v>
      </c>
      <c r="H422" s="15">
        <v>100</v>
      </c>
      <c r="I422" s="15">
        <v>0</v>
      </c>
      <c r="J422" s="15">
        <v>0</v>
      </c>
      <c r="M422" s="14">
        <v>4166.54</v>
      </c>
      <c r="N422" s="14">
        <f t="shared" ref="N422:O436" si="86">M422/60</f>
        <v>69.442333333333337</v>
      </c>
      <c r="O422" s="14">
        <f t="shared" si="86"/>
        <v>1.1573722222222222</v>
      </c>
      <c r="Q422" s="14"/>
    </row>
    <row r="423" spans="1:17" ht="15" customHeight="1" x14ac:dyDescent="0.25">
      <c r="A423" s="106">
        <v>44539</v>
      </c>
      <c r="B423" s="13" t="s">
        <v>628</v>
      </c>
      <c r="C423" s="111">
        <v>0.36499999999999999</v>
      </c>
      <c r="D423" s="15">
        <v>12</v>
      </c>
      <c r="E423" s="135" t="s">
        <v>230</v>
      </c>
      <c r="F423" s="135" t="s">
        <v>645</v>
      </c>
      <c r="G423" s="29" t="s">
        <v>688</v>
      </c>
      <c r="H423" s="15">
        <v>12</v>
      </c>
      <c r="I423" s="15">
        <v>88</v>
      </c>
      <c r="J423" s="15">
        <v>0</v>
      </c>
      <c r="M423" s="14">
        <v>1000.937</v>
      </c>
      <c r="N423" s="14">
        <f t="shared" ref="N423" si="87">M423/60</f>
        <v>16.682283333333334</v>
      </c>
      <c r="O423" s="14">
        <f t="shared" si="86"/>
        <v>0.27803805555555555</v>
      </c>
      <c r="Q423" s="14"/>
    </row>
    <row r="424" spans="1:17" ht="15" customHeight="1" x14ac:dyDescent="0.25">
      <c r="A424" s="154">
        <v>44558</v>
      </c>
      <c r="B424" s="169" t="s">
        <v>629</v>
      </c>
      <c r="C424" s="153">
        <v>0.39600000000000002</v>
      </c>
      <c r="D424" s="148">
        <v>0</v>
      </c>
      <c r="E424" s="150" t="s">
        <v>230</v>
      </c>
      <c r="F424" s="2" t="s">
        <v>13</v>
      </c>
      <c r="G424" s="170"/>
      <c r="H424" s="15">
        <v>0</v>
      </c>
      <c r="I424" s="15">
        <v>100</v>
      </c>
      <c r="J424" s="15">
        <v>0</v>
      </c>
      <c r="N424" s="14"/>
      <c r="O424" s="14"/>
      <c r="Q424" s="14"/>
    </row>
    <row r="425" spans="1:17" ht="15" customHeight="1" x14ac:dyDescent="0.25">
      <c r="A425" s="154">
        <v>44559</v>
      </c>
      <c r="B425" s="169" t="s">
        <v>630</v>
      </c>
      <c r="C425" s="153">
        <v>0.28499999999999998</v>
      </c>
      <c r="D425" s="148">
        <v>0</v>
      </c>
      <c r="E425" s="150" t="s">
        <v>230</v>
      </c>
      <c r="F425" s="2" t="s">
        <v>13</v>
      </c>
      <c r="G425" s="170"/>
      <c r="H425" s="15">
        <v>0</v>
      </c>
      <c r="I425" s="15">
        <v>100</v>
      </c>
      <c r="J425" s="15">
        <v>0</v>
      </c>
      <c r="N425" s="14"/>
      <c r="O425" s="14"/>
      <c r="Q425" s="14"/>
    </row>
    <row r="426" spans="1:17" ht="15" customHeight="1" x14ac:dyDescent="0.25">
      <c r="A426" s="154">
        <v>44560</v>
      </c>
      <c r="B426" s="169" t="s">
        <v>631</v>
      </c>
      <c r="C426" s="153">
        <v>0.18</v>
      </c>
      <c r="D426" s="148">
        <v>0</v>
      </c>
      <c r="E426" s="150" t="s">
        <v>230</v>
      </c>
      <c r="F426" s="2" t="s">
        <v>13</v>
      </c>
      <c r="G426" s="170"/>
      <c r="H426" s="15">
        <v>0</v>
      </c>
      <c r="I426" s="15">
        <v>100</v>
      </c>
      <c r="J426" s="15">
        <v>0</v>
      </c>
      <c r="N426" s="14"/>
      <c r="O426" s="14"/>
      <c r="Q426" s="14"/>
    </row>
    <row r="427" spans="1:17" ht="15" customHeight="1" x14ac:dyDescent="0.25">
      <c r="A427" s="205">
        <v>2022</v>
      </c>
      <c r="B427" s="205"/>
      <c r="C427" s="205"/>
      <c r="D427" s="205"/>
      <c r="E427" s="205"/>
      <c r="F427" s="205"/>
      <c r="G427" s="205"/>
      <c r="H427" s="15"/>
      <c r="I427" s="15"/>
      <c r="J427" s="15"/>
      <c r="N427" s="14"/>
      <c r="O427" s="14"/>
      <c r="Q427" s="14"/>
    </row>
    <row r="428" spans="1:17" ht="15" customHeight="1" x14ac:dyDescent="0.25">
      <c r="A428" s="106">
        <v>44566</v>
      </c>
      <c r="B428" s="12" t="s">
        <v>669</v>
      </c>
      <c r="C428" s="111">
        <v>0.11700000000000001</v>
      </c>
      <c r="D428" s="15">
        <v>100</v>
      </c>
      <c r="E428" s="135" t="s">
        <v>230</v>
      </c>
      <c r="F428" s="135" t="s">
        <v>199</v>
      </c>
      <c r="G428" s="29" t="s">
        <v>687</v>
      </c>
      <c r="H428" s="15">
        <v>100</v>
      </c>
      <c r="I428" s="15">
        <v>0</v>
      </c>
      <c r="J428" s="15">
        <v>0</v>
      </c>
      <c r="L428" s="156"/>
      <c r="M428" s="14">
        <v>1372.57</v>
      </c>
      <c r="N428" s="14">
        <f t="shared" ref="N428" si="88">M428/60</f>
        <v>22.876166666666666</v>
      </c>
      <c r="O428" s="14">
        <f t="shared" si="86"/>
        <v>0.38126944444444444</v>
      </c>
      <c r="Q428" s="14"/>
    </row>
    <row r="429" spans="1:17" ht="15" customHeight="1" x14ac:dyDescent="0.25">
      <c r="A429" s="106">
        <v>44567</v>
      </c>
      <c r="B429" s="12" t="s">
        <v>670</v>
      </c>
      <c r="C429" s="111">
        <v>0.20399999999999999</v>
      </c>
      <c r="D429" s="15">
        <v>0</v>
      </c>
      <c r="E429" s="135" t="s">
        <v>230</v>
      </c>
      <c r="F429" s="128" t="s">
        <v>13</v>
      </c>
      <c r="H429" s="15">
        <v>0</v>
      </c>
      <c r="I429" s="15">
        <v>100</v>
      </c>
      <c r="J429" s="15">
        <v>0</v>
      </c>
      <c r="L429" s="156"/>
      <c r="N429" s="14"/>
      <c r="O429" s="14"/>
      <c r="Q429" s="14"/>
    </row>
    <row r="430" spans="1:17" ht="15" customHeight="1" x14ac:dyDescent="0.25">
      <c r="A430" s="106">
        <v>44568</v>
      </c>
      <c r="B430" s="12" t="s">
        <v>671</v>
      </c>
      <c r="C430" s="111">
        <v>0.30399999999999999</v>
      </c>
      <c r="D430" s="15">
        <v>0</v>
      </c>
      <c r="E430" s="135" t="s">
        <v>230</v>
      </c>
      <c r="F430" s="128" t="s">
        <v>13</v>
      </c>
      <c r="H430" s="15">
        <v>0</v>
      </c>
      <c r="I430" s="15">
        <v>100</v>
      </c>
      <c r="J430" s="15">
        <v>0</v>
      </c>
      <c r="L430" s="156"/>
      <c r="N430" s="14"/>
      <c r="O430" s="14"/>
      <c r="Q430" s="14"/>
    </row>
    <row r="431" spans="1:17" ht="15" customHeight="1" x14ac:dyDescent="0.25">
      <c r="A431" s="106">
        <v>44569</v>
      </c>
      <c r="B431" s="12" t="s">
        <v>672</v>
      </c>
      <c r="C431" s="111">
        <v>0.40799999999999997</v>
      </c>
      <c r="D431" s="15">
        <v>0</v>
      </c>
      <c r="E431" s="135" t="s">
        <v>230</v>
      </c>
      <c r="F431" s="128" t="s">
        <v>13</v>
      </c>
      <c r="H431" s="15">
        <v>0</v>
      </c>
      <c r="I431" s="15">
        <v>100</v>
      </c>
      <c r="J431" s="15">
        <v>0</v>
      </c>
      <c r="L431" s="156"/>
      <c r="N431" s="14"/>
      <c r="O431" s="14"/>
      <c r="Q431" s="14"/>
    </row>
    <row r="432" spans="1:17" ht="15" customHeight="1" x14ac:dyDescent="0.25">
      <c r="A432" s="154">
        <v>44587</v>
      </c>
      <c r="B432" s="12" t="s">
        <v>673</v>
      </c>
      <c r="C432" s="111">
        <v>0.44600000000000001</v>
      </c>
      <c r="D432" s="15">
        <v>0</v>
      </c>
      <c r="E432" s="135" t="s">
        <v>230</v>
      </c>
      <c r="F432" s="135" t="s">
        <v>198</v>
      </c>
      <c r="G432" s="140" t="s">
        <v>689</v>
      </c>
      <c r="H432" s="15">
        <v>0</v>
      </c>
      <c r="I432" s="15">
        <v>100</v>
      </c>
      <c r="J432" s="15">
        <v>0</v>
      </c>
      <c r="L432" s="156"/>
      <c r="N432" s="14"/>
      <c r="O432" s="14"/>
      <c r="Q432" s="14"/>
    </row>
    <row r="433" spans="1:17" ht="15" customHeight="1" x14ac:dyDescent="0.25">
      <c r="A433" s="154">
        <v>44588</v>
      </c>
      <c r="B433" s="12" t="s">
        <v>674</v>
      </c>
      <c r="C433" s="111">
        <v>0.32700000000000001</v>
      </c>
      <c r="D433" s="15">
        <v>0</v>
      </c>
      <c r="E433" s="135" t="s">
        <v>230</v>
      </c>
      <c r="F433" s="135" t="s">
        <v>198</v>
      </c>
      <c r="G433" s="29" t="s">
        <v>690</v>
      </c>
      <c r="H433" s="15">
        <v>0</v>
      </c>
      <c r="I433" s="15">
        <v>100</v>
      </c>
      <c r="J433" s="15">
        <v>0</v>
      </c>
      <c r="L433" s="156"/>
      <c r="N433" s="14"/>
      <c r="O433" s="14"/>
      <c r="Q433" s="14"/>
    </row>
    <row r="434" spans="1:17" ht="15" customHeight="1" x14ac:dyDescent="0.25">
      <c r="A434" s="154">
        <v>44589</v>
      </c>
      <c r="B434" s="12" t="s">
        <v>675</v>
      </c>
      <c r="C434" s="111">
        <v>0.217</v>
      </c>
      <c r="D434" s="15">
        <v>0</v>
      </c>
      <c r="E434" s="135" t="s">
        <v>230</v>
      </c>
      <c r="F434" s="135" t="s">
        <v>198</v>
      </c>
      <c r="G434" s="29" t="s">
        <v>690</v>
      </c>
      <c r="H434" s="15">
        <v>0</v>
      </c>
      <c r="I434" s="15">
        <v>100</v>
      </c>
      <c r="J434" s="15">
        <v>0</v>
      </c>
      <c r="L434" s="156"/>
      <c r="N434" s="14"/>
      <c r="O434" s="14"/>
      <c r="Q434" s="14"/>
    </row>
    <row r="435" spans="1:17" ht="15" customHeight="1" x14ac:dyDescent="0.25">
      <c r="A435" s="106">
        <v>44596</v>
      </c>
      <c r="B435" s="13" t="s">
        <v>676</v>
      </c>
      <c r="C435" s="111">
        <v>0.151</v>
      </c>
      <c r="D435" s="15">
        <v>100</v>
      </c>
      <c r="E435" s="135" t="s">
        <v>230</v>
      </c>
      <c r="F435" s="135" t="s">
        <v>216</v>
      </c>
      <c r="H435" s="15">
        <v>100</v>
      </c>
      <c r="I435" s="15">
        <v>0</v>
      </c>
      <c r="J435" s="15">
        <v>0</v>
      </c>
      <c r="L435" s="156"/>
      <c r="M435" s="14">
        <v>3535.47</v>
      </c>
      <c r="N435" s="14">
        <f t="shared" ref="N435" si="89">M435/60</f>
        <v>58.924499999999995</v>
      </c>
      <c r="O435" s="14">
        <f t="shared" si="86"/>
        <v>0.98207499999999992</v>
      </c>
      <c r="Q435" s="14"/>
    </row>
    <row r="436" spans="1:17" ht="15" customHeight="1" x14ac:dyDescent="0.25">
      <c r="A436" s="106">
        <v>44597</v>
      </c>
      <c r="B436" s="13" t="s">
        <v>677</v>
      </c>
      <c r="C436" s="111">
        <v>0.23799999999999999</v>
      </c>
      <c r="D436" s="15">
        <v>60</v>
      </c>
      <c r="E436" s="135" t="s">
        <v>209</v>
      </c>
      <c r="F436" s="135" t="s">
        <v>216</v>
      </c>
      <c r="H436" s="15">
        <v>60</v>
      </c>
      <c r="I436" s="15">
        <v>40</v>
      </c>
      <c r="J436" s="15">
        <v>0</v>
      </c>
      <c r="L436" s="156"/>
      <c r="M436" s="14">
        <v>3943.81</v>
      </c>
      <c r="N436" s="14">
        <f t="shared" ref="N436" si="90">M436/60</f>
        <v>65.730166666666662</v>
      </c>
      <c r="O436" s="14">
        <f t="shared" si="86"/>
        <v>1.0955027777777777</v>
      </c>
      <c r="Q436" s="14"/>
    </row>
    <row r="437" spans="1:17" ht="15" customHeight="1" x14ac:dyDescent="0.25">
      <c r="A437" s="106">
        <v>44598</v>
      </c>
      <c r="B437" s="13" t="s">
        <v>678</v>
      </c>
      <c r="C437" s="111">
        <v>0.33300000000000002</v>
      </c>
      <c r="D437" s="15">
        <v>0</v>
      </c>
      <c r="E437" s="135" t="s">
        <v>230</v>
      </c>
      <c r="F437" s="128" t="s">
        <v>13</v>
      </c>
      <c r="H437" s="15">
        <v>0</v>
      </c>
      <c r="I437" s="15">
        <v>100</v>
      </c>
      <c r="J437" s="15">
        <v>0</v>
      </c>
      <c r="L437" s="156"/>
      <c r="N437" s="14"/>
      <c r="O437" s="14"/>
      <c r="Q437" s="14"/>
    </row>
    <row r="438" spans="1:17" ht="15" customHeight="1" x14ac:dyDescent="0.25">
      <c r="A438" s="106">
        <v>44599</v>
      </c>
      <c r="B438" s="13" t="s">
        <v>679</v>
      </c>
      <c r="C438" s="111">
        <v>0.433</v>
      </c>
      <c r="D438" s="15">
        <v>13</v>
      </c>
      <c r="E438" s="135" t="s">
        <v>230</v>
      </c>
      <c r="F438" s="135" t="s">
        <v>645</v>
      </c>
      <c r="G438" s="29" t="s">
        <v>688</v>
      </c>
      <c r="H438" s="15">
        <v>13</v>
      </c>
      <c r="I438" s="15">
        <v>87</v>
      </c>
      <c r="J438" s="15">
        <v>0</v>
      </c>
      <c r="L438" s="156"/>
      <c r="M438" s="14">
        <v>1557.2380000000001</v>
      </c>
      <c r="N438" s="14">
        <f t="shared" ref="N438:O438" si="91">M438/60</f>
        <v>25.953966666666666</v>
      </c>
      <c r="O438" s="14">
        <f t="shared" si="91"/>
        <v>0.4325661111111111</v>
      </c>
      <c r="Q438" s="14"/>
    </row>
    <row r="439" spans="1:17" ht="15" customHeight="1" x14ac:dyDescent="0.25">
      <c r="A439" s="154">
        <v>44617</v>
      </c>
      <c r="B439" s="13" t="s">
        <v>138</v>
      </c>
      <c r="C439" s="111">
        <v>0.36299999999999999</v>
      </c>
      <c r="D439" s="15">
        <v>100</v>
      </c>
      <c r="E439" s="135" t="s">
        <v>230</v>
      </c>
      <c r="F439" s="135" t="s">
        <v>216</v>
      </c>
      <c r="H439" s="15">
        <v>100</v>
      </c>
      <c r="I439" s="15">
        <v>0</v>
      </c>
      <c r="J439" s="15">
        <v>0</v>
      </c>
      <c r="L439" s="156"/>
      <c r="M439" s="14">
        <v>3052.26</v>
      </c>
      <c r="N439" s="14">
        <f t="shared" ref="N439" si="92">M439/60</f>
        <v>50.871000000000002</v>
      </c>
      <c r="O439" s="14">
        <f t="shared" ref="O439" si="93">N439/60</f>
        <v>0.84784999999999999</v>
      </c>
      <c r="Q439" s="14"/>
    </row>
    <row r="440" spans="1:17" ht="15" customHeight="1" x14ac:dyDescent="0.25">
      <c r="A440" s="106">
        <v>44625</v>
      </c>
      <c r="B440" s="13" t="s">
        <v>680</v>
      </c>
      <c r="C440" s="111">
        <v>0.10199999999999999</v>
      </c>
      <c r="D440" s="15">
        <v>0</v>
      </c>
      <c r="E440" s="135" t="s">
        <v>230</v>
      </c>
      <c r="F440" s="128" t="s">
        <v>13</v>
      </c>
      <c r="H440" s="15">
        <v>0</v>
      </c>
      <c r="I440" s="15">
        <v>100</v>
      </c>
      <c r="J440" s="15">
        <v>0</v>
      </c>
      <c r="L440" s="156"/>
      <c r="N440" s="14"/>
      <c r="O440" s="14"/>
      <c r="Q440" s="14"/>
    </row>
    <row r="441" spans="1:17" ht="15" customHeight="1" x14ac:dyDescent="0.25">
      <c r="A441" s="106">
        <v>44626</v>
      </c>
      <c r="B441" s="13" t="s">
        <v>681</v>
      </c>
      <c r="C441" s="111">
        <v>0.17499999999999999</v>
      </c>
      <c r="D441" s="15">
        <v>0</v>
      </c>
      <c r="E441" s="135" t="s">
        <v>230</v>
      </c>
      <c r="F441" s="128" t="s">
        <v>13</v>
      </c>
      <c r="H441" s="15">
        <v>0</v>
      </c>
      <c r="I441" s="15">
        <v>100</v>
      </c>
      <c r="J441" s="15">
        <v>0</v>
      </c>
      <c r="L441" s="156"/>
      <c r="N441" s="14"/>
      <c r="O441" s="14"/>
      <c r="Q441" s="14"/>
    </row>
    <row r="442" spans="1:17" ht="15" customHeight="1" x14ac:dyDescent="0.25">
      <c r="A442" s="106">
        <v>44627</v>
      </c>
      <c r="B442" s="13" t="s">
        <v>682</v>
      </c>
      <c r="C442" s="111">
        <v>0.26</v>
      </c>
      <c r="D442" s="15">
        <v>30</v>
      </c>
      <c r="E442" s="135" t="s">
        <v>230</v>
      </c>
      <c r="F442" s="135" t="s">
        <v>199</v>
      </c>
      <c r="G442" s="29" t="s">
        <v>688</v>
      </c>
      <c r="H442" s="15">
        <v>30</v>
      </c>
      <c r="I442" s="15">
        <v>70</v>
      </c>
      <c r="J442" s="15">
        <v>0</v>
      </c>
      <c r="L442" s="156"/>
      <c r="M442" s="14">
        <v>2186.817</v>
      </c>
      <c r="N442" s="14">
        <f t="shared" ref="N442" si="94">M442/60</f>
        <v>36.446950000000001</v>
      </c>
      <c r="O442" s="14">
        <f t="shared" ref="O442" si="95">N442/60</f>
        <v>0.60744916666666671</v>
      </c>
      <c r="Q442" s="14"/>
    </row>
    <row r="443" spans="1:17" ht="15" customHeight="1" x14ac:dyDescent="0.25">
      <c r="A443" s="106">
        <v>44628</v>
      </c>
      <c r="B443" s="13" t="s">
        <v>683</v>
      </c>
      <c r="C443" s="111">
        <v>0.35299999999999998</v>
      </c>
      <c r="D443" s="15">
        <v>0</v>
      </c>
      <c r="E443" s="135" t="s">
        <v>230</v>
      </c>
      <c r="F443" s="128" t="s">
        <v>13</v>
      </c>
      <c r="H443" s="15">
        <v>0</v>
      </c>
      <c r="I443" s="15">
        <v>100</v>
      </c>
      <c r="J443" s="15">
        <v>0</v>
      </c>
      <c r="L443" s="156"/>
      <c r="N443" s="14"/>
      <c r="O443" s="14"/>
      <c r="Q443" s="14"/>
    </row>
    <row r="444" spans="1:17" ht="15" customHeight="1" x14ac:dyDescent="0.25">
      <c r="A444" s="106">
        <v>44629</v>
      </c>
      <c r="B444" s="13" t="s">
        <v>684</v>
      </c>
      <c r="C444" s="111">
        <v>0.44900000000000001</v>
      </c>
      <c r="D444" s="15">
        <v>0</v>
      </c>
      <c r="E444" s="135" t="s">
        <v>230</v>
      </c>
      <c r="F444" s="128" t="s">
        <v>13</v>
      </c>
      <c r="G444" s="140" t="s">
        <v>685</v>
      </c>
      <c r="H444" s="15">
        <v>0</v>
      </c>
      <c r="I444" s="15">
        <v>100</v>
      </c>
      <c r="J444" s="15">
        <v>0</v>
      </c>
      <c r="L444" s="156"/>
      <c r="N444" s="14"/>
      <c r="O444" s="14"/>
      <c r="Q444" s="14"/>
    </row>
    <row r="445" spans="1:17" ht="15" customHeight="1" x14ac:dyDescent="0.25">
      <c r="A445" s="154">
        <v>44646</v>
      </c>
      <c r="B445" s="13" t="s">
        <v>302</v>
      </c>
      <c r="C445" s="111">
        <v>0.39600000000000002</v>
      </c>
      <c r="D445" s="15">
        <v>100</v>
      </c>
      <c r="E445" s="135" t="s">
        <v>230</v>
      </c>
      <c r="F445" s="135" t="s">
        <v>216</v>
      </c>
      <c r="H445" s="15">
        <v>100</v>
      </c>
      <c r="I445" s="15">
        <v>0</v>
      </c>
      <c r="J445" s="15">
        <v>0</v>
      </c>
      <c r="M445" s="14">
        <v>1295.73</v>
      </c>
      <c r="N445" s="14">
        <f t="shared" ref="N445" si="96">M445/60</f>
        <v>21.595500000000001</v>
      </c>
      <c r="O445" s="14">
        <f t="shared" ref="O445" si="97">N445/60</f>
        <v>0.35992499999999999</v>
      </c>
      <c r="Q445" s="14"/>
    </row>
    <row r="446" spans="1:17" ht="15" customHeight="1" x14ac:dyDescent="0.25">
      <c r="A446" s="106">
        <v>44655</v>
      </c>
      <c r="B446" s="12" t="s">
        <v>693</v>
      </c>
      <c r="C446" s="111">
        <v>0.121</v>
      </c>
      <c r="D446" s="15">
        <v>0</v>
      </c>
      <c r="E446" s="135" t="s">
        <v>230</v>
      </c>
      <c r="F446" s="128" t="s">
        <v>13</v>
      </c>
      <c r="H446" s="15">
        <v>0</v>
      </c>
      <c r="I446" s="15">
        <v>100</v>
      </c>
      <c r="J446" s="15">
        <v>0</v>
      </c>
      <c r="N446" s="14"/>
      <c r="O446" s="14"/>
      <c r="Q446" s="14"/>
    </row>
    <row r="447" spans="1:17" ht="15" customHeight="1" x14ac:dyDescent="0.25">
      <c r="A447" s="106">
        <v>44656</v>
      </c>
      <c r="B447" s="12" t="s">
        <v>694</v>
      </c>
      <c r="C447" s="111">
        <v>0.19400000000000001</v>
      </c>
      <c r="D447" s="15">
        <v>72</v>
      </c>
      <c r="E447" s="135" t="s">
        <v>644</v>
      </c>
      <c r="F447" s="135" t="s">
        <v>198</v>
      </c>
      <c r="G447" s="29" t="s">
        <v>723</v>
      </c>
      <c r="H447" s="15">
        <v>72</v>
      </c>
      <c r="I447" s="15">
        <v>28</v>
      </c>
      <c r="J447" s="15">
        <v>0</v>
      </c>
      <c r="M447" s="14">
        <v>3849.58</v>
      </c>
      <c r="N447" s="14">
        <f t="shared" ref="N447" si="98">M447/60</f>
        <v>64.159666666666666</v>
      </c>
      <c r="O447" s="14">
        <f t="shared" ref="O447" si="99">N447/60</f>
        <v>1.0693277777777779</v>
      </c>
      <c r="Q447" s="14"/>
    </row>
    <row r="448" spans="1:17" ht="15" customHeight="1" x14ac:dyDescent="0.25">
      <c r="A448" s="106">
        <v>44657</v>
      </c>
      <c r="B448" s="12" t="s">
        <v>695</v>
      </c>
      <c r="C448" s="111">
        <v>0.27800000000000002</v>
      </c>
      <c r="D448" s="15">
        <v>12</v>
      </c>
      <c r="E448" s="135" t="s">
        <v>230</v>
      </c>
      <c r="F448" s="135" t="s">
        <v>199</v>
      </c>
      <c r="G448" s="29" t="s">
        <v>722</v>
      </c>
      <c r="H448" s="15">
        <v>12</v>
      </c>
      <c r="I448" s="15">
        <v>88</v>
      </c>
      <c r="J448" s="15">
        <v>0</v>
      </c>
      <c r="M448" s="14">
        <v>997.81</v>
      </c>
      <c r="N448" s="14">
        <f t="shared" ref="N448" si="100">M448/60</f>
        <v>16.630166666666664</v>
      </c>
      <c r="O448" s="14">
        <f t="shared" ref="O448" si="101">N448/60</f>
        <v>0.27716944444444441</v>
      </c>
      <c r="Q448" s="14"/>
    </row>
    <row r="449" spans="1:17" ht="15" customHeight="1" x14ac:dyDescent="0.25">
      <c r="A449" s="106">
        <v>44658</v>
      </c>
      <c r="B449" s="12" t="s">
        <v>696</v>
      </c>
      <c r="C449" s="111">
        <v>0.37</v>
      </c>
      <c r="D449" s="15">
        <v>38</v>
      </c>
      <c r="E449" s="135" t="s">
        <v>230</v>
      </c>
      <c r="F449" s="135" t="s">
        <v>645</v>
      </c>
      <c r="G449" s="29" t="s">
        <v>724</v>
      </c>
      <c r="H449" s="15">
        <v>38</v>
      </c>
      <c r="I449" s="15">
        <v>62</v>
      </c>
      <c r="J449" s="15">
        <v>0</v>
      </c>
      <c r="M449" s="14">
        <v>4015.0639999999999</v>
      </c>
      <c r="N449" s="14">
        <f t="shared" ref="N449" si="102">M449/60</f>
        <v>66.917733333333331</v>
      </c>
      <c r="O449" s="14">
        <f t="shared" ref="O449" si="103">N449/60</f>
        <v>1.1152955555555555</v>
      </c>
      <c r="Q449" s="14"/>
    </row>
    <row r="450" spans="1:17" ht="15" customHeight="1" x14ac:dyDescent="0.25">
      <c r="A450" s="122">
        <v>44659</v>
      </c>
      <c r="B450" s="16" t="s">
        <v>697</v>
      </c>
      <c r="C450" s="173">
        <v>0.46600000000000003</v>
      </c>
      <c r="D450" s="174"/>
      <c r="E450" s="175"/>
      <c r="F450" s="175"/>
      <c r="G450" s="176" t="s">
        <v>719</v>
      </c>
      <c r="O450" s="14"/>
      <c r="Q450" s="14"/>
    </row>
    <row r="451" spans="1:17" ht="15" customHeight="1" x14ac:dyDescent="0.25">
      <c r="A451" s="151" t="s">
        <v>698</v>
      </c>
      <c r="B451" s="12"/>
      <c r="C451" s="111"/>
      <c r="N451" s="14"/>
      <c r="O451" s="14"/>
      <c r="Q451" s="14"/>
    </row>
    <row r="452" spans="1:17" ht="15" customHeight="1" x14ac:dyDescent="0.25">
      <c r="A452" s="122">
        <v>44684</v>
      </c>
      <c r="B452" s="16" t="s">
        <v>699</v>
      </c>
      <c r="C452" s="173">
        <v>7.8E-2</v>
      </c>
      <c r="N452" s="14"/>
      <c r="O452" s="14"/>
      <c r="Q452" s="14"/>
    </row>
    <row r="453" spans="1:17" ht="15" customHeight="1" x14ac:dyDescent="0.25">
      <c r="A453" s="106">
        <v>44685</v>
      </c>
      <c r="B453" s="12" t="s">
        <v>700</v>
      </c>
      <c r="C453" s="111">
        <v>0.13900000000000001</v>
      </c>
      <c r="D453" s="15">
        <v>0</v>
      </c>
      <c r="E453" s="135" t="s">
        <v>230</v>
      </c>
      <c r="F453" s="128" t="s">
        <v>13</v>
      </c>
      <c r="H453" s="15">
        <v>0</v>
      </c>
      <c r="I453" s="15">
        <v>100</v>
      </c>
      <c r="J453" s="15">
        <v>0</v>
      </c>
      <c r="L453" s="156"/>
      <c r="N453" s="14"/>
      <c r="O453" s="14"/>
      <c r="Q453" s="14"/>
    </row>
    <row r="454" spans="1:17" ht="15" customHeight="1" x14ac:dyDescent="0.25">
      <c r="A454" s="106">
        <v>44686</v>
      </c>
      <c r="B454" s="12" t="s">
        <v>701</v>
      </c>
      <c r="C454" s="111">
        <v>0.214</v>
      </c>
      <c r="D454" s="15">
        <v>33</v>
      </c>
      <c r="E454" s="135" t="s">
        <v>230</v>
      </c>
      <c r="F454" s="135" t="s">
        <v>216</v>
      </c>
      <c r="G454" s="106" t="s">
        <v>727</v>
      </c>
      <c r="H454" s="15">
        <v>33</v>
      </c>
      <c r="I454" s="15">
        <v>67</v>
      </c>
      <c r="J454" s="15">
        <v>0</v>
      </c>
      <c r="M454" s="14">
        <v>2066.8029999999999</v>
      </c>
      <c r="N454" s="14">
        <f t="shared" ref="N454" si="104">M454/60</f>
        <v>34.446716666666667</v>
      </c>
      <c r="O454" s="14">
        <f t="shared" ref="O454" si="105">N454/60</f>
        <v>0.57411194444444447</v>
      </c>
      <c r="Q454" s="14"/>
    </row>
    <row r="455" spans="1:17" ht="15" customHeight="1" x14ac:dyDescent="0.25">
      <c r="A455" s="106">
        <v>44687</v>
      </c>
      <c r="B455" s="12" t="s">
        <v>702</v>
      </c>
      <c r="C455" s="111">
        <v>0.29899999999999999</v>
      </c>
      <c r="D455" s="15">
        <v>0</v>
      </c>
      <c r="E455" s="135" t="s">
        <v>230</v>
      </c>
      <c r="F455" s="128" t="s">
        <v>13</v>
      </c>
      <c r="G455" s="106"/>
      <c r="H455" s="15">
        <v>0</v>
      </c>
      <c r="I455" s="15">
        <v>100</v>
      </c>
      <c r="J455" s="15">
        <v>0</v>
      </c>
      <c r="N455" s="14"/>
      <c r="O455" s="14"/>
      <c r="Q455" s="14"/>
    </row>
    <row r="456" spans="1:17" ht="15" customHeight="1" x14ac:dyDescent="0.25">
      <c r="A456" s="106">
        <v>44688</v>
      </c>
      <c r="B456" s="12" t="s">
        <v>703</v>
      </c>
      <c r="C456" s="111">
        <v>0.39200000000000002</v>
      </c>
      <c r="D456" s="15">
        <v>22</v>
      </c>
      <c r="E456" s="135" t="s">
        <v>209</v>
      </c>
      <c r="F456" s="135" t="s">
        <v>198</v>
      </c>
      <c r="G456" s="106" t="s">
        <v>750</v>
      </c>
      <c r="H456" s="15">
        <v>22</v>
      </c>
      <c r="I456" s="15">
        <v>78</v>
      </c>
      <c r="J456" s="15">
        <v>0</v>
      </c>
      <c r="M456" s="14">
        <v>2086.9</v>
      </c>
      <c r="N456" s="14">
        <f t="shared" ref="N456" si="106">M456/60</f>
        <v>34.781666666666666</v>
      </c>
      <c r="O456" s="14">
        <f t="shared" ref="O456" si="107">N456/60</f>
        <v>0.5796944444444444</v>
      </c>
    </row>
    <row r="457" spans="1:17" ht="15" customHeight="1" x14ac:dyDescent="0.25">
      <c r="A457" s="154">
        <v>44705</v>
      </c>
      <c r="B457" s="12" t="s">
        <v>86</v>
      </c>
      <c r="C457" s="111">
        <v>0.36099999999999999</v>
      </c>
      <c r="D457" s="15">
        <v>100</v>
      </c>
      <c r="E457" s="135" t="s">
        <v>230</v>
      </c>
      <c r="F457" s="135" t="s">
        <v>216</v>
      </c>
      <c r="G457" s="106"/>
      <c r="H457" s="15">
        <v>100</v>
      </c>
      <c r="I457" s="15">
        <v>0</v>
      </c>
      <c r="J457" s="15">
        <v>0</v>
      </c>
      <c r="M457" s="14">
        <v>1532.28</v>
      </c>
      <c r="N457" s="14">
        <f t="shared" ref="N457" si="108">M457/60</f>
        <v>25.538</v>
      </c>
      <c r="O457" s="14">
        <f t="shared" ref="O457" si="109">N457/60</f>
        <v>0.42563333333333336</v>
      </c>
    </row>
    <row r="458" spans="1:17" ht="15" customHeight="1" x14ac:dyDescent="0.25">
      <c r="A458" s="154">
        <v>44706</v>
      </c>
      <c r="B458" s="12" t="s">
        <v>728</v>
      </c>
      <c r="C458" s="111">
        <v>0.26200000000000001</v>
      </c>
      <c r="D458" s="15">
        <v>100</v>
      </c>
      <c r="E458" s="135" t="s">
        <v>209</v>
      </c>
      <c r="F458" s="135" t="s">
        <v>216</v>
      </c>
      <c r="G458" s="106"/>
      <c r="H458" s="15">
        <v>100</v>
      </c>
      <c r="I458" s="15">
        <v>0</v>
      </c>
      <c r="J458" s="15">
        <v>0</v>
      </c>
      <c r="M458" s="14">
        <v>1088.77</v>
      </c>
      <c r="N458" s="14">
        <f t="shared" ref="N458:N462" si="110">M458/60</f>
        <v>18.146166666666666</v>
      </c>
      <c r="O458" s="14">
        <f t="shared" ref="O458:O462" si="111">N458/60</f>
        <v>0.30243611111111107</v>
      </c>
    </row>
    <row r="459" spans="1:17" ht="15" customHeight="1" x14ac:dyDescent="0.25">
      <c r="A459" s="106">
        <v>44714</v>
      </c>
      <c r="B459" s="12" t="s">
        <v>730</v>
      </c>
      <c r="C459" s="111">
        <v>9.6000000000000002E-2</v>
      </c>
      <c r="D459" s="15">
        <v>41</v>
      </c>
      <c r="E459" s="135" t="s">
        <v>230</v>
      </c>
      <c r="F459" s="135" t="s">
        <v>216</v>
      </c>
      <c r="G459" s="106" t="s">
        <v>751</v>
      </c>
      <c r="H459" s="15">
        <v>41</v>
      </c>
      <c r="I459" s="15">
        <v>59</v>
      </c>
      <c r="J459" s="15">
        <v>0</v>
      </c>
      <c r="M459" s="14">
        <v>1504.75</v>
      </c>
      <c r="N459" s="14">
        <f t="shared" si="110"/>
        <v>25.079166666666666</v>
      </c>
      <c r="O459" s="14">
        <f t="shared" si="111"/>
        <v>0.41798611111111111</v>
      </c>
    </row>
    <row r="460" spans="1:17" ht="15" customHeight="1" x14ac:dyDescent="0.25">
      <c r="A460" s="106">
        <v>44715</v>
      </c>
      <c r="B460" s="12" t="s">
        <v>732</v>
      </c>
      <c r="C460" s="111">
        <v>0.161</v>
      </c>
      <c r="D460" s="15">
        <v>100</v>
      </c>
      <c r="E460" s="135" t="s">
        <v>731</v>
      </c>
      <c r="F460" s="135" t="s">
        <v>216</v>
      </c>
      <c r="G460" s="106" t="s">
        <v>735</v>
      </c>
      <c r="H460" s="15">
        <v>100</v>
      </c>
      <c r="I460" s="15">
        <v>0</v>
      </c>
      <c r="J460" s="15">
        <v>0</v>
      </c>
      <c r="M460" s="14">
        <v>3600.9</v>
      </c>
      <c r="N460" s="14">
        <f t="shared" si="110"/>
        <v>60.015000000000001</v>
      </c>
      <c r="O460" s="14">
        <f t="shared" si="111"/>
        <v>1.0002500000000001</v>
      </c>
    </row>
    <row r="461" spans="1:17" ht="15" customHeight="1" x14ac:dyDescent="0.25">
      <c r="A461" s="106">
        <v>44716</v>
      </c>
      <c r="B461" s="12" t="s">
        <v>77</v>
      </c>
      <c r="C461" s="111">
        <v>0.23899999999999999</v>
      </c>
      <c r="D461" s="15">
        <v>66</v>
      </c>
      <c r="E461" s="135" t="s">
        <v>733</v>
      </c>
      <c r="F461" s="135" t="s">
        <v>216</v>
      </c>
      <c r="G461" s="106" t="s">
        <v>734</v>
      </c>
      <c r="H461" s="15">
        <v>66</v>
      </c>
      <c r="I461" s="15">
        <v>34</v>
      </c>
      <c r="J461" s="15">
        <v>0</v>
      </c>
      <c r="M461" s="14">
        <v>4732.1099999999997</v>
      </c>
      <c r="N461" s="14">
        <f t="shared" si="110"/>
        <v>78.868499999999997</v>
      </c>
      <c r="O461" s="14">
        <f t="shared" si="111"/>
        <v>1.3144750000000001</v>
      </c>
    </row>
    <row r="462" spans="1:17" ht="15" customHeight="1" x14ac:dyDescent="0.25">
      <c r="A462" s="106">
        <v>44717</v>
      </c>
      <c r="B462" s="12" t="s">
        <v>736</v>
      </c>
      <c r="C462" s="111">
        <v>0.32800000000000001</v>
      </c>
      <c r="D462" s="15">
        <v>45</v>
      </c>
      <c r="E462" s="135" t="s">
        <v>230</v>
      </c>
      <c r="F462" s="135" t="s">
        <v>198</v>
      </c>
      <c r="G462" s="106" t="s">
        <v>752</v>
      </c>
      <c r="H462" s="15">
        <v>45</v>
      </c>
      <c r="I462" s="15">
        <v>55</v>
      </c>
      <c r="J462" s="15">
        <v>0</v>
      </c>
      <c r="M462" s="14">
        <v>3816.8960000000002</v>
      </c>
      <c r="N462" s="14">
        <f t="shared" si="110"/>
        <v>63.614933333333333</v>
      </c>
      <c r="O462" s="14">
        <f t="shared" si="111"/>
        <v>1.0602488888888888</v>
      </c>
    </row>
    <row r="463" spans="1:17" ht="15" customHeight="1" x14ac:dyDescent="0.25">
      <c r="A463" s="106">
        <v>44718</v>
      </c>
      <c r="B463" s="12" t="s">
        <v>737</v>
      </c>
      <c r="C463" s="111">
        <v>0.42499999999999999</v>
      </c>
      <c r="D463" s="15">
        <v>0</v>
      </c>
      <c r="E463" s="135" t="s">
        <v>230</v>
      </c>
      <c r="F463" s="128" t="s">
        <v>13</v>
      </c>
      <c r="H463" s="15">
        <v>0</v>
      </c>
      <c r="I463" s="15">
        <v>100</v>
      </c>
      <c r="J463" s="15">
        <v>0</v>
      </c>
      <c r="L463" s="156"/>
      <c r="N463" s="14"/>
      <c r="O463" s="14"/>
    </row>
    <row r="464" spans="1:17" ht="15" customHeight="1" x14ac:dyDescent="0.25">
      <c r="A464" s="154">
        <v>44734</v>
      </c>
      <c r="B464" s="157" t="s">
        <v>704</v>
      </c>
      <c r="C464" s="153">
        <v>0.40600000000000003</v>
      </c>
      <c r="D464" s="15">
        <v>100</v>
      </c>
      <c r="E464" s="135" t="s">
        <v>230</v>
      </c>
      <c r="F464" s="135" t="s">
        <v>216</v>
      </c>
      <c r="G464" s="106" t="s">
        <v>738</v>
      </c>
      <c r="H464" s="15">
        <v>100</v>
      </c>
      <c r="I464" s="15">
        <v>0</v>
      </c>
      <c r="J464" s="15">
        <v>0</v>
      </c>
      <c r="K464" s="124">
        <v>918</v>
      </c>
      <c r="L464" s="18">
        <f>100*K464/1060</f>
        <v>86.603773584905667</v>
      </c>
      <c r="M464" s="14">
        <v>4126.7749999999996</v>
      </c>
      <c r="N464" s="14">
        <f t="shared" ref="N464" si="112">M464/60</f>
        <v>68.779583333333321</v>
      </c>
      <c r="O464" s="14">
        <f t="shared" ref="O464" si="113">N464/60</f>
        <v>1.1463263888888886</v>
      </c>
    </row>
    <row r="465" spans="1:16" ht="15" customHeight="1" x14ac:dyDescent="0.25">
      <c r="A465" s="154">
        <v>44735</v>
      </c>
      <c r="B465" s="157" t="s">
        <v>705</v>
      </c>
      <c r="C465" s="153">
        <v>0.307</v>
      </c>
      <c r="D465" s="15">
        <v>90</v>
      </c>
      <c r="E465" s="135" t="s">
        <v>647</v>
      </c>
      <c r="F465" s="135" t="s">
        <v>216</v>
      </c>
      <c r="G465" s="106" t="s">
        <v>749</v>
      </c>
      <c r="H465" s="15">
        <v>90</v>
      </c>
      <c r="I465" s="15">
        <v>10</v>
      </c>
      <c r="J465" s="15">
        <v>0</v>
      </c>
      <c r="M465" s="14">
        <v>3330.4920000000002</v>
      </c>
      <c r="N465" s="14">
        <f t="shared" ref="N465:N466" si="114">M465/60</f>
        <v>55.508200000000002</v>
      </c>
      <c r="O465" s="14">
        <f t="shared" ref="O465:O466" si="115">N465/60</f>
        <v>0.92513666666666672</v>
      </c>
    </row>
    <row r="466" spans="1:16" ht="15" customHeight="1" x14ac:dyDescent="0.25">
      <c r="A466" s="154">
        <v>44736</v>
      </c>
      <c r="B466" s="157" t="s">
        <v>706</v>
      </c>
      <c r="C466" s="153">
        <v>0.218</v>
      </c>
      <c r="D466" s="15">
        <v>100</v>
      </c>
      <c r="E466" s="135" t="s">
        <v>230</v>
      </c>
      <c r="F466" s="135" t="s">
        <v>216</v>
      </c>
      <c r="G466" s="106"/>
      <c r="H466" s="15">
        <v>100</v>
      </c>
      <c r="I466" s="15">
        <v>0</v>
      </c>
      <c r="J466" s="15">
        <v>0</v>
      </c>
      <c r="M466" s="14">
        <v>2082.44</v>
      </c>
      <c r="N466" s="14">
        <f t="shared" si="114"/>
        <v>34.707333333333331</v>
      </c>
      <c r="O466" s="14">
        <f t="shared" si="115"/>
        <v>0.5784555555555555</v>
      </c>
    </row>
    <row r="467" spans="1:16" ht="15" customHeight="1" x14ac:dyDescent="0.25">
      <c r="A467" s="154">
        <v>44737</v>
      </c>
      <c r="B467" s="157" t="s">
        <v>707</v>
      </c>
      <c r="C467" s="153">
        <v>0.14099999999999999</v>
      </c>
      <c r="D467" s="15">
        <v>100</v>
      </c>
      <c r="E467" s="135" t="s">
        <v>230</v>
      </c>
      <c r="F467" s="135" t="s">
        <v>216</v>
      </c>
      <c r="G467" s="106"/>
      <c r="H467" s="15">
        <v>100</v>
      </c>
      <c r="I467" s="15">
        <v>0</v>
      </c>
      <c r="J467" s="15">
        <v>0</v>
      </c>
      <c r="M467" s="14">
        <v>1317.4169999999999</v>
      </c>
      <c r="N467" s="14">
        <f t="shared" ref="N467" si="116">M467/60</f>
        <v>21.956949999999999</v>
      </c>
      <c r="O467" s="14">
        <f t="shared" ref="O467" si="117">N467/60</f>
        <v>0.36594916666666666</v>
      </c>
    </row>
    <row r="468" spans="1:16" ht="15" customHeight="1" x14ac:dyDescent="0.25">
      <c r="A468" s="106">
        <v>44744</v>
      </c>
      <c r="B468" s="12" t="s">
        <v>745</v>
      </c>
      <c r="C468" s="111">
        <v>0.11799999999999999</v>
      </c>
      <c r="D468" s="15">
        <v>0</v>
      </c>
      <c r="E468" s="135" t="s">
        <v>230</v>
      </c>
      <c r="F468" s="135"/>
      <c r="G468" s="106" t="s">
        <v>754</v>
      </c>
      <c r="H468" s="15">
        <v>0</v>
      </c>
      <c r="I468" s="15">
        <v>0</v>
      </c>
      <c r="J468" s="15">
        <v>100</v>
      </c>
      <c r="M468" s="14">
        <f>1+25/60</f>
        <v>1.4166666666666667</v>
      </c>
      <c r="N468" s="14"/>
      <c r="O468" s="14"/>
    </row>
    <row r="469" spans="1:16" ht="15" customHeight="1" x14ac:dyDescent="0.25">
      <c r="A469" s="106">
        <v>44745</v>
      </c>
      <c r="B469" s="12" t="s">
        <v>746</v>
      </c>
      <c r="C469" s="111">
        <v>0.189</v>
      </c>
      <c r="D469" s="15">
        <v>0</v>
      </c>
      <c r="E469" s="135" t="s">
        <v>230</v>
      </c>
      <c r="F469" s="135"/>
      <c r="G469" s="106" t="s">
        <v>754</v>
      </c>
      <c r="H469" s="15">
        <v>0</v>
      </c>
      <c r="I469" s="15">
        <v>0</v>
      </c>
      <c r="J469" s="15">
        <v>100</v>
      </c>
      <c r="N469" s="14"/>
      <c r="O469" s="14"/>
    </row>
    <row r="470" spans="1:16" ht="15" customHeight="1" x14ac:dyDescent="0.25">
      <c r="A470" s="106">
        <v>44746</v>
      </c>
      <c r="B470" s="12" t="s">
        <v>747</v>
      </c>
      <c r="C470" s="111">
        <v>0.27400000000000002</v>
      </c>
      <c r="D470" s="15">
        <v>0</v>
      </c>
      <c r="E470" s="135" t="s">
        <v>230</v>
      </c>
      <c r="F470" s="135"/>
      <c r="G470" s="106" t="s">
        <v>754</v>
      </c>
      <c r="H470" s="15">
        <v>0</v>
      </c>
      <c r="I470" s="15">
        <v>0</v>
      </c>
      <c r="J470" s="15">
        <v>100</v>
      </c>
      <c r="N470" s="14"/>
      <c r="O470" s="14">
        <f>SUM(O459:O467)</f>
        <v>6.8088277777777781</v>
      </c>
    </row>
    <row r="471" spans="1:16" ht="15" customHeight="1" x14ac:dyDescent="0.25">
      <c r="A471" s="106">
        <v>44747</v>
      </c>
      <c r="B471" s="12" t="s">
        <v>748</v>
      </c>
      <c r="C471" s="111">
        <v>0.37</v>
      </c>
      <c r="D471" s="15">
        <v>0</v>
      </c>
      <c r="E471" s="135" t="s">
        <v>230</v>
      </c>
      <c r="F471" s="135"/>
      <c r="G471" s="106" t="s">
        <v>754</v>
      </c>
      <c r="H471" s="15">
        <v>0</v>
      </c>
      <c r="I471" s="15">
        <v>0</v>
      </c>
      <c r="J471" s="15">
        <v>100</v>
      </c>
      <c r="N471" s="14"/>
      <c r="O471" s="14"/>
    </row>
    <row r="472" spans="1:16" ht="15" customHeight="1" x14ac:dyDescent="0.25">
      <c r="A472" s="177">
        <v>44763</v>
      </c>
      <c r="B472" s="178" t="s">
        <v>708</v>
      </c>
      <c r="C472" s="179">
        <v>0.46</v>
      </c>
      <c r="G472" s="176" t="s">
        <v>720</v>
      </c>
      <c r="N472" s="14"/>
      <c r="O472" s="14"/>
    </row>
    <row r="473" spans="1:16" ht="15" customHeight="1" x14ac:dyDescent="0.25">
      <c r="A473" s="154">
        <v>44764</v>
      </c>
      <c r="B473" s="157" t="s">
        <v>755</v>
      </c>
      <c r="C473" s="153">
        <v>0.36</v>
      </c>
      <c r="D473" s="15">
        <v>100</v>
      </c>
      <c r="E473" s="135" t="s">
        <v>652</v>
      </c>
      <c r="F473" s="135" t="s">
        <v>216</v>
      </c>
      <c r="H473" s="15">
        <v>100</v>
      </c>
      <c r="I473" s="15">
        <v>0</v>
      </c>
      <c r="J473" s="15">
        <v>0</v>
      </c>
      <c r="M473" s="14">
        <v>6013.81</v>
      </c>
      <c r="N473" s="14">
        <f t="shared" ref="N473" si="118">M473/60</f>
        <v>100.23016666666668</v>
      </c>
      <c r="O473" s="14">
        <f t="shared" ref="O473" si="119">N473/60</f>
        <v>1.6705027777777779</v>
      </c>
    </row>
    <row r="474" spans="1:16" ht="15" customHeight="1" x14ac:dyDescent="0.25">
      <c r="A474" s="154">
        <v>44765</v>
      </c>
      <c r="B474" s="157" t="s">
        <v>756</v>
      </c>
      <c r="C474" s="153">
        <v>0.26800000000000002</v>
      </c>
      <c r="D474" s="15">
        <v>100</v>
      </c>
      <c r="E474" s="135" t="s">
        <v>230</v>
      </c>
      <c r="F474" s="135" t="s">
        <v>216</v>
      </c>
      <c r="H474" s="15">
        <v>100</v>
      </c>
      <c r="I474" s="15">
        <v>0</v>
      </c>
      <c r="J474" s="15">
        <v>0</v>
      </c>
      <c r="M474" s="14">
        <v>4845.0190000000002</v>
      </c>
      <c r="N474" s="14">
        <f t="shared" ref="N474" si="120">M474/60</f>
        <v>80.750316666666677</v>
      </c>
      <c r="O474" s="14">
        <f t="shared" ref="O474" si="121">N474/60</f>
        <v>1.3458386111111114</v>
      </c>
    </row>
    <row r="475" spans="1:16" ht="15" customHeight="1" x14ac:dyDescent="0.25">
      <c r="A475" s="154">
        <v>44766</v>
      </c>
      <c r="B475" s="157" t="s">
        <v>400</v>
      </c>
      <c r="C475" s="153">
        <v>0.186</v>
      </c>
      <c r="D475" s="15">
        <v>100</v>
      </c>
      <c r="E475" s="135" t="s">
        <v>209</v>
      </c>
      <c r="F475" s="135" t="s">
        <v>216</v>
      </c>
      <c r="H475" s="15">
        <v>100</v>
      </c>
      <c r="I475" s="15">
        <v>0</v>
      </c>
      <c r="J475" s="15">
        <v>0</v>
      </c>
      <c r="M475" s="14">
        <v>3596.51</v>
      </c>
      <c r="N475" s="14">
        <f t="shared" ref="N475:N477" si="122">M475/60</f>
        <v>59.941833333333335</v>
      </c>
      <c r="O475" s="14">
        <f t="shared" ref="O475:O477" si="123">N475/60</f>
        <v>0.99903055555555553</v>
      </c>
    </row>
    <row r="476" spans="1:16" ht="15" customHeight="1" x14ac:dyDescent="0.25">
      <c r="A476" s="154">
        <v>44767</v>
      </c>
      <c r="B476" s="157" t="s">
        <v>143</v>
      </c>
      <c r="C476" s="153">
        <v>0.11600000000000001</v>
      </c>
      <c r="D476" s="15">
        <v>100</v>
      </c>
      <c r="E476" s="135" t="s">
        <v>230</v>
      </c>
      <c r="F476" s="135" t="s">
        <v>216</v>
      </c>
      <c r="H476" s="15">
        <v>100</v>
      </c>
      <c r="I476" s="15">
        <v>0</v>
      </c>
      <c r="J476" s="15">
        <v>0</v>
      </c>
      <c r="M476" s="14">
        <v>2377.21</v>
      </c>
      <c r="N476" s="14">
        <f t="shared" si="122"/>
        <v>39.62016666666667</v>
      </c>
      <c r="O476" s="14">
        <f t="shared" si="123"/>
        <v>0.66033611111111112</v>
      </c>
    </row>
    <row r="477" spans="1:16" ht="15" customHeight="1" x14ac:dyDescent="0.25">
      <c r="A477" s="106">
        <v>44774</v>
      </c>
      <c r="B477" s="12" t="s">
        <v>757</v>
      </c>
      <c r="C477" s="111">
        <v>0.14899999999999999</v>
      </c>
      <c r="D477" s="15">
        <v>47</v>
      </c>
      <c r="E477" s="135" t="s">
        <v>644</v>
      </c>
      <c r="F477" s="135" t="s">
        <v>199</v>
      </c>
      <c r="G477" s="29" t="s">
        <v>762</v>
      </c>
      <c r="H477" s="15">
        <v>47</v>
      </c>
      <c r="I477" s="15">
        <v>53</v>
      </c>
      <c r="J477" s="15">
        <v>0</v>
      </c>
      <c r="M477" s="14">
        <v>1272.98</v>
      </c>
      <c r="N477" s="14">
        <f t="shared" si="122"/>
        <v>21.216333333333335</v>
      </c>
      <c r="O477" s="14">
        <f t="shared" si="123"/>
        <v>0.35360555555555556</v>
      </c>
      <c r="P477" s="14">
        <f>SUM(O473:O476)</f>
        <v>4.6757080555555559</v>
      </c>
    </row>
    <row r="478" spans="1:16" ht="15" customHeight="1" x14ac:dyDescent="0.25">
      <c r="A478" s="106">
        <v>44775</v>
      </c>
      <c r="B478" s="12" t="s">
        <v>759</v>
      </c>
      <c r="C478" s="111">
        <v>0.23</v>
      </c>
      <c r="D478" s="15">
        <v>100</v>
      </c>
      <c r="E478" s="135" t="s">
        <v>230</v>
      </c>
      <c r="F478" s="135" t="s">
        <v>216</v>
      </c>
      <c r="G478" s="29" t="s">
        <v>763</v>
      </c>
      <c r="H478" s="15">
        <v>100</v>
      </c>
      <c r="I478" s="15">
        <v>0</v>
      </c>
      <c r="J478" s="15">
        <v>0</v>
      </c>
      <c r="M478" s="14">
        <v>2986.92</v>
      </c>
      <c r="N478" s="14">
        <f t="shared" ref="N478:N483" si="124">M478/60</f>
        <v>49.782000000000004</v>
      </c>
      <c r="O478" s="14">
        <f t="shared" ref="O478:O483" si="125">N478/60</f>
        <v>0.8297000000000001</v>
      </c>
    </row>
    <row r="479" spans="1:16" ht="15" customHeight="1" x14ac:dyDescent="0.25">
      <c r="A479" s="106">
        <v>44776</v>
      </c>
      <c r="B479" s="12" t="s">
        <v>739</v>
      </c>
      <c r="C479" s="111">
        <v>0.32400000000000001</v>
      </c>
      <c r="D479" s="15">
        <v>100</v>
      </c>
      <c r="E479" s="135" t="s">
        <v>731</v>
      </c>
      <c r="F479" s="135" t="s">
        <v>760</v>
      </c>
      <c r="G479" s="29" t="s">
        <v>763</v>
      </c>
      <c r="H479" s="15">
        <v>100</v>
      </c>
      <c r="I479" s="15">
        <v>0</v>
      </c>
      <c r="J479" s="15">
        <v>0</v>
      </c>
      <c r="M479" s="14">
        <v>3745.067</v>
      </c>
      <c r="N479" s="14">
        <f t="shared" si="124"/>
        <v>62.417783333333333</v>
      </c>
      <c r="O479" s="14">
        <f t="shared" si="125"/>
        <v>1.040296388888889</v>
      </c>
    </row>
    <row r="480" spans="1:16" ht="15" customHeight="1" x14ac:dyDescent="0.25">
      <c r="A480" s="106">
        <v>44777</v>
      </c>
      <c r="B480" s="12" t="s">
        <v>740</v>
      </c>
      <c r="C480" s="111">
        <v>0.42899999999999999</v>
      </c>
      <c r="D480" s="15">
        <v>100</v>
      </c>
      <c r="E480" s="135" t="s">
        <v>761</v>
      </c>
      <c r="F480" s="135" t="s">
        <v>216</v>
      </c>
      <c r="G480" s="29" t="s">
        <v>764</v>
      </c>
      <c r="H480" s="15">
        <v>100</v>
      </c>
      <c r="I480" s="15">
        <v>0</v>
      </c>
      <c r="J480" s="15">
        <v>0</v>
      </c>
      <c r="K480" s="124">
        <f>1080-268</f>
        <v>812</v>
      </c>
      <c r="L480" s="18">
        <f>100*K480/1060</f>
        <v>76.603773584905667</v>
      </c>
      <c r="M480" s="14">
        <v>4579.116</v>
      </c>
      <c r="N480" s="14">
        <f t="shared" si="124"/>
        <v>76.318600000000004</v>
      </c>
      <c r="O480" s="14">
        <f t="shared" si="125"/>
        <v>1.2719766666666668</v>
      </c>
    </row>
    <row r="481" spans="1:16" ht="15" customHeight="1" x14ac:dyDescent="0.25">
      <c r="A481" s="154">
        <v>44793</v>
      </c>
      <c r="B481" s="157" t="s">
        <v>709</v>
      </c>
      <c r="C481" s="153">
        <v>0.42399999999999999</v>
      </c>
      <c r="D481" s="15">
        <v>100</v>
      </c>
      <c r="E481" s="135" t="s">
        <v>230</v>
      </c>
      <c r="F481" s="135" t="s">
        <v>216</v>
      </c>
      <c r="G481" s="29" t="s">
        <v>765</v>
      </c>
      <c r="H481" s="15">
        <v>100</v>
      </c>
      <c r="I481" s="15">
        <v>0</v>
      </c>
      <c r="J481" s="15">
        <v>0</v>
      </c>
      <c r="K481" s="124">
        <f>1018</f>
        <v>1018</v>
      </c>
      <c r="L481" s="18">
        <f>100*K481/1060</f>
        <v>96.037735849056602</v>
      </c>
      <c r="M481" s="14">
        <v>9028.3970000000008</v>
      </c>
      <c r="N481" s="14">
        <f t="shared" si="124"/>
        <v>150.47328333333334</v>
      </c>
      <c r="O481" s="14">
        <f t="shared" si="125"/>
        <v>2.5078880555555556</v>
      </c>
    </row>
    <row r="482" spans="1:16" ht="15" customHeight="1" x14ac:dyDescent="0.25">
      <c r="A482" s="154">
        <v>44794</v>
      </c>
      <c r="B482" s="157" t="s">
        <v>331</v>
      </c>
      <c r="C482" s="153">
        <v>0.32800000000000001</v>
      </c>
      <c r="D482" s="15">
        <v>100</v>
      </c>
      <c r="E482" s="135" t="s">
        <v>230</v>
      </c>
      <c r="F482" s="135" t="s">
        <v>216</v>
      </c>
      <c r="H482" s="15">
        <v>100</v>
      </c>
      <c r="I482" s="15">
        <v>0</v>
      </c>
      <c r="J482" s="15">
        <v>0</v>
      </c>
      <c r="M482" s="14">
        <v>7671.098</v>
      </c>
      <c r="N482" s="14">
        <f t="shared" si="124"/>
        <v>127.85163333333334</v>
      </c>
      <c r="O482" s="14">
        <f t="shared" si="125"/>
        <v>2.1308605555555555</v>
      </c>
    </row>
    <row r="483" spans="1:16" ht="15" customHeight="1" x14ac:dyDescent="0.25">
      <c r="A483" s="154">
        <v>44795</v>
      </c>
      <c r="B483" s="157" t="s">
        <v>178</v>
      </c>
      <c r="C483" s="153">
        <v>0.24</v>
      </c>
      <c r="D483" s="15">
        <v>100</v>
      </c>
      <c r="E483" s="135" t="s">
        <v>210</v>
      </c>
      <c r="F483" s="135" t="s">
        <v>216</v>
      </c>
      <c r="H483" s="15">
        <v>100</v>
      </c>
      <c r="I483" s="15">
        <v>0</v>
      </c>
      <c r="J483" s="15">
        <v>0</v>
      </c>
      <c r="M483" s="14">
        <v>5761.3620000000001</v>
      </c>
      <c r="N483" s="14">
        <f t="shared" si="124"/>
        <v>96.0227</v>
      </c>
      <c r="O483" s="14">
        <f t="shared" si="125"/>
        <v>1.6003783333333332</v>
      </c>
    </row>
    <row r="484" spans="1:16" ht="15" customHeight="1" x14ac:dyDescent="0.25">
      <c r="A484" s="154">
        <v>44796</v>
      </c>
      <c r="B484" s="157" t="s">
        <v>710</v>
      </c>
      <c r="C484" s="153">
        <v>0.16200000000000001</v>
      </c>
      <c r="D484" s="15">
        <v>0</v>
      </c>
      <c r="E484" s="135" t="s">
        <v>230</v>
      </c>
      <c r="F484" s="128" t="s">
        <v>13</v>
      </c>
      <c r="G484" s="106"/>
      <c r="H484" s="15">
        <v>0</v>
      </c>
      <c r="I484" s="15">
        <v>100</v>
      </c>
      <c r="J484" s="15">
        <v>0</v>
      </c>
      <c r="N484" s="14"/>
      <c r="O484" s="14"/>
    </row>
    <row r="485" spans="1:16" ht="15" customHeight="1" x14ac:dyDescent="0.25">
      <c r="A485" s="154">
        <v>44797</v>
      </c>
      <c r="B485" s="157" t="s">
        <v>711</v>
      </c>
      <c r="C485" s="153">
        <v>9.6000000000000002E-2</v>
      </c>
      <c r="D485" s="15">
        <v>0</v>
      </c>
      <c r="E485" s="135" t="s">
        <v>230</v>
      </c>
      <c r="F485" s="128" t="s">
        <v>13</v>
      </c>
      <c r="G485" s="106"/>
      <c r="H485" s="15">
        <v>0</v>
      </c>
      <c r="I485" s="15">
        <v>100</v>
      </c>
      <c r="J485" s="15">
        <v>0</v>
      </c>
      <c r="N485" s="14"/>
      <c r="O485" s="14"/>
      <c r="P485" s="14">
        <f>SUM(O477:O486)</f>
        <v>9.7347055555555553</v>
      </c>
    </row>
    <row r="486" spans="1:16" ht="15" customHeight="1" x14ac:dyDescent="0.25">
      <c r="A486" s="106">
        <v>44804</v>
      </c>
      <c r="B486" s="12" t="s">
        <v>304</v>
      </c>
      <c r="C486" s="111">
        <v>0.19500000000000001</v>
      </c>
      <c r="D486" s="15">
        <v>0</v>
      </c>
      <c r="E486" s="135" t="s">
        <v>230</v>
      </c>
      <c r="F486" s="128" t="s">
        <v>13</v>
      </c>
      <c r="G486" s="106"/>
      <c r="H486" s="15">
        <v>0</v>
      </c>
      <c r="I486" s="15">
        <v>100</v>
      </c>
      <c r="J486" s="15">
        <v>0</v>
      </c>
      <c r="N486" s="14"/>
      <c r="O486" s="14"/>
    </row>
    <row r="487" spans="1:16" ht="15" customHeight="1" x14ac:dyDescent="0.25">
      <c r="A487" s="106">
        <v>44805</v>
      </c>
      <c r="B487" s="12" t="s">
        <v>741</v>
      </c>
      <c r="C487" s="111">
        <v>0.28499999999999998</v>
      </c>
      <c r="D487" s="15">
        <v>80</v>
      </c>
      <c r="E487" s="135" t="s">
        <v>647</v>
      </c>
      <c r="F487" s="135" t="s">
        <v>216</v>
      </c>
      <c r="G487" s="29" t="s">
        <v>767</v>
      </c>
      <c r="H487" s="15">
        <v>80</v>
      </c>
      <c r="I487" s="15">
        <v>20</v>
      </c>
      <c r="J487" s="15">
        <v>0</v>
      </c>
      <c r="M487" s="14">
        <v>2535.36</v>
      </c>
      <c r="N487" s="14">
        <f t="shared" ref="N487" si="126">M487/60</f>
        <v>42.256</v>
      </c>
      <c r="O487" s="14">
        <f t="shared" ref="O487" si="127">N487/60</f>
        <v>0.70426666666666671</v>
      </c>
    </row>
    <row r="488" spans="1:16" ht="15" customHeight="1" x14ac:dyDescent="0.25">
      <c r="A488" s="106">
        <v>44806</v>
      </c>
      <c r="B488" s="12" t="s">
        <v>742</v>
      </c>
      <c r="C488" s="111">
        <v>0.39</v>
      </c>
      <c r="D488" s="15">
        <v>100</v>
      </c>
      <c r="E488" s="135" t="s">
        <v>210</v>
      </c>
      <c r="F488" s="135" t="s">
        <v>216</v>
      </c>
      <c r="H488" s="15">
        <v>100</v>
      </c>
      <c r="I488" s="15">
        <v>0</v>
      </c>
      <c r="J488" s="15">
        <v>0</v>
      </c>
      <c r="M488" s="14">
        <v>3885.71</v>
      </c>
      <c r="N488" s="14">
        <f t="shared" ref="N488" si="128">M488/60</f>
        <v>64.761833333333328</v>
      </c>
      <c r="O488" s="14">
        <f t="shared" ref="O488" si="129">N488/60</f>
        <v>1.0793638888888888</v>
      </c>
    </row>
    <row r="489" spans="1:16" ht="15" customHeight="1" x14ac:dyDescent="0.25">
      <c r="A489" s="154">
        <v>44823</v>
      </c>
      <c r="B489" s="157" t="s">
        <v>712</v>
      </c>
      <c r="C489" s="153">
        <v>0.39900000000000002</v>
      </c>
      <c r="D489" s="15">
        <v>100</v>
      </c>
      <c r="E489" s="135" t="s">
        <v>230</v>
      </c>
      <c r="F489" s="135" t="s">
        <v>216</v>
      </c>
      <c r="G489" s="29" t="s">
        <v>768</v>
      </c>
      <c r="H489" s="15">
        <v>100</v>
      </c>
      <c r="I489" s="15">
        <v>0</v>
      </c>
      <c r="J489" s="15">
        <v>0</v>
      </c>
      <c r="K489" s="124">
        <f>944</f>
        <v>944</v>
      </c>
      <c r="L489" s="18">
        <f>100*K489/1060</f>
        <v>89.056603773584911</v>
      </c>
      <c r="M489" s="14">
        <v>9856.2800000000007</v>
      </c>
      <c r="N489" s="14">
        <f t="shared" ref="N489" si="130">M489/60</f>
        <v>164.27133333333333</v>
      </c>
      <c r="O489" s="14">
        <f t="shared" ref="O489" si="131">N489/60</f>
        <v>2.7378555555555555</v>
      </c>
    </row>
    <row r="490" spans="1:16" ht="15" customHeight="1" x14ac:dyDescent="0.25">
      <c r="A490" s="154">
        <v>44824</v>
      </c>
      <c r="B490" s="157" t="s">
        <v>713</v>
      </c>
      <c r="C490" s="153">
        <v>0.30499999999999999</v>
      </c>
      <c r="D490" s="15">
        <v>12</v>
      </c>
      <c r="E490" s="135" t="s">
        <v>230</v>
      </c>
      <c r="F490" s="128" t="s">
        <v>199</v>
      </c>
      <c r="G490" s="106" t="s">
        <v>769</v>
      </c>
      <c r="H490" s="15">
        <v>12</v>
      </c>
      <c r="I490" s="15">
        <v>88</v>
      </c>
      <c r="J490" s="15">
        <v>0</v>
      </c>
      <c r="M490" s="14">
        <v>1098.27</v>
      </c>
      <c r="N490" s="14">
        <f t="shared" ref="N490:N491" si="132">M490/60</f>
        <v>18.304500000000001</v>
      </c>
      <c r="O490" s="14">
        <f t="shared" ref="O490:O491" si="133">N490/60</f>
        <v>0.30507500000000004</v>
      </c>
    </row>
    <row r="491" spans="1:16" ht="15" customHeight="1" x14ac:dyDescent="0.25">
      <c r="A491" s="154">
        <v>44825</v>
      </c>
      <c r="B491" s="157" t="s">
        <v>714</v>
      </c>
      <c r="C491" s="153">
        <v>0.218</v>
      </c>
      <c r="D491" s="15">
        <v>39</v>
      </c>
      <c r="E491" s="135" t="s">
        <v>230</v>
      </c>
      <c r="F491" s="128" t="s">
        <v>199</v>
      </c>
      <c r="G491" s="106" t="s">
        <v>770</v>
      </c>
      <c r="H491" s="15">
        <v>39</v>
      </c>
      <c r="I491" s="15">
        <v>61</v>
      </c>
      <c r="J491" s="15">
        <v>0</v>
      </c>
      <c r="K491" s="15"/>
      <c r="L491" s="12"/>
      <c r="M491" s="14">
        <v>2693.69</v>
      </c>
      <c r="N491" s="14">
        <f t="shared" si="132"/>
        <v>44.894833333333331</v>
      </c>
      <c r="O491" s="14">
        <f t="shared" si="133"/>
        <v>0.74824722222222217</v>
      </c>
    </row>
    <row r="492" spans="1:16" ht="15" customHeight="1" x14ac:dyDescent="0.25">
      <c r="A492" s="154">
        <v>44826</v>
      </c>
      <c r="B492" s="157" t="s">
        <v>715</v>
      </c>
      <c r="C492" s="153">
        <v>0.14199999999999999</v>
      </c>
      <c r="D492" s="15">
        <v>0</v>
      </c>
      <c r="E492" s="135" t="s">
        <v>230</v>
      </c>
      <c r="F492" s="128" t="s">
        <v>13</v>
      </c>
      <c r="G492" s="106"/>
      <c r="H492" s="15">
        <v>0</v>
      </c>
      <c r="I492" s="15">
        <v>100</v>
      </c>
      <c r="J492" s="15">
        <v>0</v>
      </c>
      <c r="N492" s="14"/>
      <c r="O492" s="14"/>
    </row>
    <row r="493" spans="1:16" ht="15" customHeight="1" x14ac:dyDescent="0.25">
      <c r="A493" s="106">
        <v>44834</v>
      </c>
      <c r="B493" s="12" t="s">
        <v>743</v>
      </c>
      <c r="C493" s="111">
        <v>0.254</v>
      </c>
      <c r="D493" s="15">
        <v>62</v>
      </c>
      <c r="E493" s="135" t="s">
        <v>230</v>
      </c>
      <c r="F493" s="135" t="s">
        <v>760</v>
      </c>
      <c r="G493" s="106" t="s">
        <v>772</v>
      </c>
      <c r="H493" s="15">
        <v>62</v>
      </c>
      <c r="I493" s="15">
        <v>38</v>
      </c>
      <c r="J493" s="15">
        <v>0</v>
      </c>
      <c r="M493" s="14">
        <v>1655.26</v>
      </c>
      <c r="N493" s="14">
        <f t="shared" ref="N493" si="134">M493/60</f>
        <v>27.587666666666667</v>
      </c>
      <c r="O493" s="14">
        <f t="shared" ref="O493" si="135">N493/60</f>
        <v>0.45979444444444445</v>
      </c>
      <c r="P493" s="14">
        <f>SUM(O487:O493)</f>
        <v>6.0346027777777778</v>
      </c>
    </row>
    <row r="494" spans="1:16" ht="15" customHeight="1" x14ac:dyDescent="0.25">
      <c r="A494" s="106">
        <v>44835</v>
      </c>
      <c r="B494" s="12" t="s">
        <v>744</v>
      </c>
      <c r="C494" s="111">
        <v>0.35599999999999998</v>
      </c>
      <c r="D494" s="15">
        <v>64</v>
      </c>
      <c r="E494" s="135" t="s">
        <v>230</v>
      </c>
      <c r="F494" s="128" t="s">
        <v>199</v>
      </c>
      <c r="G494" s="106" t="s">
        <v>773</v>
      </c>
      <c r="H494" s="15">
        <v>64</v>
      </c>
      <c r="I494" s="15">
        <v>36</v>
      </c>
      <c r="J494" s="15">
        <v>0</v>
      </c>
      <c r="M494" s="14">
        <v>2943.1260000000002</v>
      </c>
      <c r="N494" s="14">
        <f t="shared" ref="N494" si="136">M494/60</f>
        <v>49.052100000000003</v>
      </c>
      <c r="O494" s="14">
        <f t="shared" ref="O494" si="137">N494/60</f>
        <v>0.81753500000000001</v>
      </c>
    </row>
    <row r="495" spans="1:16" ht="15" customHeight="1" x14ac:dyDescent="0.25">
      <c r="A495" s="154">
        <v>44853</v>
      </c>
      <c r="B495" s="157" t="s">
        <v>716</v>
      </c>
      <c r="C495" s="153">
        <v>0.38</v>
      </c>
      <c r="D495" s="15">
        <v>100</v>
      </c>
      <c r="E495" s="135" t="s">
        <v>486</v>
      </c>
      <c r="F495" s="135" t="s">
        <v>216</v>
      </c>
      <c r="G495" s="29" t="s">
        <v>805</v>
      </c>
      <c r="H495" s="15">
        <v>100</v>
      </c>
      <c r="I495" s="15">
        <v>0</v>
      </c>
      <c r="J495" s="15">
        <v>0</v>
      </c>
      <c r="K495" s="124">
        <v>887</v>
      </c>
      <c r="L495" s="18">
        <f>100*K495/1060</f>
        <v>83.679245283018872</v>
      </c>
      <c r="M495" s="14">
        <v>9012.8950000000004</v>
      </c>
      <c r="N495" s="14">
        <f t="shared" ref="N495:N501" si="138">M495/60</f>
        <v>150.21491666666668</v>
      </c>
      <c r="O495" s="14">
        <f t="shared" ref="O495:O501" si="139">N495/60</f>
        <v>2.5035819444444445</v>
      </c>
    </row>
    <row r="496" spans="1:16" ht="15" customHeight="1" x14ac:dyDescent="0.25">
      <c r="A496" s="154">
        <v>44854</v>
      </c>
      <c r="B496" s="157" t="s">
        <v>356</v>
      </c>
      <c r="C496" s="153">
        <v>0.28599999999999998</v>
      </c>
      <c r="D496" s="15">
        <v>100</v>
      </c>
      <c r="E496" s="135" t="s">
        <v>808</v>
      </c>
      <c r="F496" s="135" t="s">
        <v>201</v>
      </c>
      <c r="H496" s="15">
        <v>100</v>
      </c>
      <c r="I496" s="15">
        <v>0</v>
      </c>
      <c r="J496" s="15">
        <v>0</v>
      </c>
      <c r="M496" s="14">
        <v>7025.2120000000004</v>
      </c>
      <c r="N496" s="14">
        <f t="shared" si="138"/>
        <v>117.08686666666668</v>
      </c>
      <c r="O496" s="14">
        <f t="shared" si="139"/>
        <v>1.9514477777777779</v>
      </c>
    </row>
    <row r="497" spans="1:16" ht="15" customHeight="1" x14ac:dyDescent="0.25">
      <c r="A497" s="154">
        <v>44855</v>
      </c>
      <c r="B497" s="157" t="s">
        <v>717</v>
      </c>
      <c r="C497" s="153">
        <v>0.19800000000000001</v>
      </c>
      <c r="D497" s="15">
        <v>86</v>
      </c>
      <c r="E497" s="135" t="s">
        <v>647</v>
      </c>
      <c r="F497" s="135" t="s">
        <v>201</v>
      </c>
      <c r="G497" s="106" t="s">
        <v>806</v>
      </c>
      <c r="H497" s="15">
        <v>86</v>
      </c>
      <c r="I497" s="15">
        <v>14</v>
      </c>
      <c r="J497" s="15">
        <v>0</v>
      </c>
      <c r="M497" s="14">
        <v>4870.848</v>
      </c>
      <c r="N497" s="14">
        <f t="shared" si="138"/>
        <v>81.180800000000005</v>
      </c>
      <c r="O497" s="14">
        <f t="shared" si="139"/>
        <v>1.3530133333333334</v>
      </c>
    </row>
    <row r="498" spans="1:16" ht="15" customHeight="1" x14ac:dyDescent="0.25">
      <c r="A498" s="154">
        <v>44856</v>
      </c>
      <c r="B498" s="157" t="s">
        <v>718</v>
      </c>
      <c r="C498" s="153">
        <v>0.122</v>
      </c>
      <c r="D498" s="15">
        <v>100</v>
      </c>
      <c r="E498" s="135" t="s">
        <v>807</v>
      </c>
      <c r="F498" s="135" t="s">
        <v>198</v>
      </c>
      <c r="G498" s="111"/>
      <c r="H498" s="15">
        <v>100</v>
      </c>
      <c r="I498" s="15">
        <v>0</v>
      </c>
      <c r="J498" s="15">
        <v>0</v>
      </c>
      <c r="M498" s="14">
        <v>2668.069</v>
      </c>
      <c r="N498" s="14">
        <f t="shared" si="138"/>
        <v>44.467816666666664</v>
      </c>
      <c r="O498" s="14">
        <f t="shared" si="139"/>
        <v>0.74113027777777774</v>
      </c>
    </row>
    <row r="499" spans="1:16" ht="15" customHeight="1" x14ac:dyDescent="0.25">
      <c r="A499" s="106">
        <v>44863</v>
      </c>
      <c r="B499" s="12" t="s">
        <v>774</v>
      </c>
      <c r="C499" s="111">
        <v>0.222</v>
      </c>
      <c r="D499" s="15">
        <v>71</v>
      </c>
      <c r="E499" s="135" t="s">
        <v>486</v>
      </c>
      <c r="F499" s="128" t="s">
        <v>199</v>
      </c>
      <c r="G499" s="29" t="s">
        <v>809</v>
      </c>
      <c r="H499" s="15">
        <v>71</v>
      </c>
      <c r="I499" s="15">
        <v>0</v>
      </c>
      <c r="J499" s="15">
        <v>29</v>
      </c>
      <c r="M499" s="14">
        <v>2466.6350000000002</v>
      </c>
      <c r="N499" s="14">
        <f t="shared" si="138"/>
        <v>41.110583333333338</v>
      </c>
      <c r="O499" s="14">
        <f t="shared" si="139"/>
        <v>0.68517638888888899</v>
      </c>
    </row>
    <row r="500" spans="1:16" ht="15" customHeight="1" x14ac:dyDescent="0.25">
      <c r="A500" s="106">
        <v>44864</v>
      </c>
      <c r="B500" s="12" t="s">
        <v>775</v>
      </c>
      <c r="C500" s="111">
        <v>0.33</v>
      </c>
      <c r="D500" s="15">
        <v>100</v>
      </c>
      <c r="E500" s="135" t="s">
        <v>810</v>
      </c>
      <c r="F500" s="135" t="s">
        <v>201</v>
      </c>
      <c r="G500" s="29" t="s">
        <v>811</v>
      </c>
      <c r="H500" s="15">
        <v>100</v>
      </c>
      <c r="I500" s="15">
        <v>0</v>
      </c>
      <c r="J500" s="15">
        <v>0</v>
      </c>
      <c r="M500" s="14">
        <v>5323.37</v>
      </c>
      <c r="N500" s="14">
        <f t="shared" si="138"/>
        <v>88.722833333333327</v>
      </c>
      <c r="O500" s="14">
        <f t="shared" si="139"/>
        <v>1.4787138888888889</v>
      </c>
    </row>
    <row r="501" spans="1:16" ht="15" customHeight="1" x14ac:dyDescent="0.25">
      <c r="A501" s="106">
        <v>44865</v>
      </c>
      <c r="B501" s="12" t="s">
        <v>776</v>
      </c>
      <c r="C501" s="111">
        <v>0.44800000000000001</v>
      </c>
      <c r="D501" s="15">
        <v>20</v>
      </c>
      <c r="E501" s="135" t="s">
        <v>761</v>
      </c>
      <c r="F501" s="135" t="s">
        <v>198</v>
      </c>
      <c r="G501" s="29" t="s">
        <v>812</v>
      </c>
      <c r="H501" s="15">
        <v>20</v>
      </c>
      <c r="I501" s="15">
        <v>80</v>
      </c>
      <c r="J501" s="15">
        <v>0</v>
      </c>
      <c r="K501" s="124">
        <f>1080-231</f>
        <v>849</v>
      </c>
      <c r="L501" s="18">
        <f>100*K501/1060</f>
        <v>80.094339622641513</v>
      </c>
      <c r="M501" s="14">
        <v>1817.3219999999999</v>
      </c>
      <c r="N501" s="14">
        <f t="shared" si="138"/>
        <v>30.288699999999999</v>
      </c>
      <c r="O501" s="14">
        <f t="shared" si="139"/>
        <v>0.50481166666666666</v>
      </c>
      <c r="P501" s="14">
        <f>SUM(O494:O501)</f>
        <v>10.035410277777778</v>
      </c>
    </row>
    <row r="502" spans="1:16" ht="15" customHeight="1" x14ac:dyDescent="0.25">
      <c r="A502" s="154">
        <v>44883</v>
      </c>
      <c r="B502" s="157" t="s">
        <v>44</v>
      </c>
      <c r="C502" s="153">
        <v>0.36099999999999999</v>
      </c>
      <c r="D502" s="15">
        <v>7</v>
      </c>
      <c r="E502" s="135" t="s">
        <v>230</v>
      </c>
      <c r="F502" s="135" t="s">
        <v>199</v>
      </c>
      <c r="G502" s="106" t="s">
        <v>815</v>
      </c>
      <c r="H502" s="15">
        <v>7</v>
      </c>
      <c r="I502" s="15">
        <v>93</v>
      </c>
      <c r="J502" s="15">
        <v>0</v>
      </c>
      <c r="L502" s="14"/>
      <c r="M502" s="14">
        <v>663</v>
      </c>
      <c r="N502" s="14">
        <f t="shared" ref="N502:N503" si="140">M502/60</f>
        <v>11.05</v>
      </c>
      <c r="O502" s="14">
        <f t="shared" ref="O502:O503" si="141">N502/60</f>
        <v>0.18416666666666667</v>
      </c>
    </row>
    <row r="503" spans="1:16" ht="15" customHeight="1" x14ac:dyDescent="0.25">
      <c r="A503" s="154">
        <v>44884</v>
      </c>
      <c r="B503" s="157" t="s">
        <v>777</v>
      </c>
      <c r="C503" s="153">
        <v>0.26400000000000001</v>
      </c>
      <c r="D503" s="15">
        <v>59</v>
      </c>
      <c r="E503" s="135" t="s">
        <v>814</v>
      </c>
      <c r="F503" s="135" t="s">
        <v>199</v>
      </c>
      <c r="G503" s="106" t="s">
        <v>816</v>
      </c>
      <c r="H503" s="15">
        <v>59</v>
      </c>
      <c r="I503" s="15">
        <v>41</v>
      </c>
      <c r="J503" s="15">
        <v>0</v>
      </c>
      <c r="M503" s="14">
        <v>4378.95</v>
      </c>
      <c r="N503" s="14">
        <f t="shared" si="140"/>
        <v>72.982500000000002</v>
      </c>
      <c r="O503" s="14">
        <f t="shared" si="141"/>
        <v>1.216375</v>
      </c>
    </row>
    <row r="504" spans="1:16" ht="15" customHeight="1" x14ac:dyDescent="0.25">
      <c r="A504" s="154">
        <v>44885</v>
      </c>
      <c r="B504" s="157" t="s">
        <v>778</v>
      </c>
      <c r="C504" s="153">
        <v>0.17499999999999999</v>
      </c>
      <c r="D504" s="15">
        <v>0</v>
      </c>
      <c r="E504" s="135" t="s">
        <v>230</v>
      </c>
      <c r="F504" s="128" t="s">
        <v>13</v>
      </c>
      <c r="G504" s="106"/>
      <c r="H504" s="15">
        <v>0</v>
      </c>
      <c r="I504" s="15">
        <v>100</v>
      </c>
      <c r="J504" s="15">
        <v>0</v>
      </c>
    </row>
    <row r="505" spans="1:16" ht="15" customHeight="1" x14ac:dyDescent="0.25">
      <c r="A505" s="154">
        <v>44886</v>
      </c>
      <c r="B505" s="157" t="s">
        <v>779</v>
      </c>
      <c r="C505" s="153">
        <v>0.1</v>
      </c>
      <c r="D505" s="15">
        <v>0</v>
      </c>
      <c r="E505" s="135" t="s">
        <v>230</v>
      </c>
      <c r="F505" s="128" t="s">
        <v>13</v>
      </c>
      <c r="G505" s="106"/>
      <c r="H505" s="15">
        <v>0</v>
      </c>
      <c r="I505" s="15">
        <v>100</v>
      </c>
      <c r="J505" s="15">
        <v>0</v>
      </c>
      <c r="N505" s="14"/>
      <c r="O505" s="14"/>
    </row>
    <row r="506" spans="1:16" ht="15" customHeight="1" x14ac:dyDescent="0.25">
      <c r="A506" s="106">
        <v>44892</v>
      </c>
      <c r="B506" s="12" t="s">
        <v>780</v>
      </c>
      <c r="C506" s="111">
        <v>0.189</v>
      </c>
      <c r="D506" s="15">
        <v>0</v>
      </c>
      <c r="E506" s="135" t="s">
        <v>230</v>
      </c>
      <c r="F506" s="128" t="s">
        <v>13</v>
      </c>
      <c r="G506" s="106"/>
      <c r="H506" s="15">
        <v>0</v>
      </c>
      <c r="I506" s="15">
        <v>100</v>
      </c>
      <c r="J506" s="15">
        <v>0</v>
      </c>
    </row>
    <row r="507" spans="1:16" ht="15" customHeight="1" x14ac:dyDescent="0.25">
      <c r="A507" s="106">
        <v>44893</v>
      </c>
      <c r="B507" s="12" t="s">
        <v>189</v>
      </c>
      <c r="C507" s="111">
        <v>0.29499999999999998</v>
      </c>
      <c r="D507" s="15">
        <v>0</v>
      </c>
      <c r="E507" s="135" t="s">
        <v>230</v>
      </c>
      <c r="F507" s="128" t="s">
        <v>13</v>
      </c>
      <c r="G507" s="106"/>
      <c r="H507" s="15">
        <v>0</v>
      </c>
      <c r="I507" s="15">
        <v>100</v>
      </c>
      <c r="J507" s="15">
        <v>0</v>
      </c>
    </row>
    <row r="508" spans="1:16" ht="15" customHeight="1" x14ac:dyDescent="0.25">
      <c r="A508" s="106">
        <v>44894</v>
      </c>
      <c r="B508" s="12" t="s">
        <v>781</v>
      </c>
      <c r="C508" s="111">
        <v>0.41199999999999998</v>
      </c>
      <c r="D508" s="15">
        <v>0</v>
      </c>
      <c r="E508" s="135" t="s">
        <v>230</v>
      </c>
      <c r="F508" s="128" t="s">
        <v>13</v>
      </c>
      <c r="G508" s="106"/>
      <c r="H508" s="15">
        <v>0</v>
      </c>
      <c r="I508" s="15">
        <v>100</v>
      </c>
      <c r="J508" s="15">
        <v>0</v>
      </c>
      <c r="L508" s="18"/>
      <c r="P508" s="14">
        <f>SUM(O502:O508)</f>
        <v>1.4005416666666666</v>
      </c>
    </row>
    <row r="509" spans="1:16" ht="15" customHeight="1" x14ac:dyDescent="0.25">
      <c r="A509" s="154">
        <v>44912</v>
      </c>
      <c r="B509" s="157" t="s">
        <v>782</v>
      </c>
      <c r="C509" s="153">
        <v>0.437</v>
      </c>
      <c r="D509" s="15">
        <v>68</v>
      </c>
      <c r="E509" s="135" t="s">
        <v>230</v>
      </c>
      <c r="F509" s="128" t="s">
        <v>199</v>
      </c>
      <c r="G509" s="29" t="s">
        <v>818</v>
      </c>
      <c r="H509" s="15">
        <v>68</v>
      </c>
      <c r="I509" s="15">
        <v>32</v>
      </c>
      <c r="J509" s="15">
        <v>0</v>
      </c>
      <c r="K509" s="124">
        <v>635</v>
      </c>
      <c r="M509" s="14">
        <v>8154.3280000000004</v>
      </c>
      <c r="N509" s="14">
        <f t="shared" ref="N509" si="142">M509/60</f>
        <v>135.90546666666668</v>
      </c>
      <c r="O509" s="14">
        <f t="shared" ref="O509" si="143">N509/60</f>
        <v>2.2650911111111114</v>
      </c>
    </row>
    <row r="510" spans="1:16" ht="15" customHeight="1" x14ac:dyDescent="0.25">
      <c r="A510" s="154">
        <v>44913</v>
      </c>
      <c r="B510" s="157" t="s">
        <v>783</v>
      </c>
      <c r="C510" s="153">
        <v>0.33300000000000002</v>
      </c>
      <c r="D510" s="15">
        <v>51</v>
      </c>
      <c r="E510" s="135" t="s">
        <v>486</v>
      </c>
      <c r="F510" s="135" t="s">
        <v>198</v>
      </c>
      <c r="G510" s="12" t="s">
        <v>819</v>
      </c>
      <c r="H510" s="15">
        <v>51</v>
      </c>
      <c r="I510" s="15">
        <v>49</v>
      </c>
      <c r="J510" s="15">
        <v>0</v>
      </c>
      <c r="K510" s="15"/>
      <c r="M510" s="14">
        <v>4688</v>
      </c>
      <c r="N510" s="14">
        <f t="shared" ref="N510" si="144">M510/60</f>
        <v>78.13333333333334</v>
      </c>
      <c r="O510" s="14">
        <f t="shared" ref="O510" si="145">N510/60</f>
        <v>1.3022222222222224</v>
      </c>
    </row>
    <row r="511" spans="1:16" ht="15" customHeight="1" x14ac:dyDescent="0.25">
      <c r="A511" s="154">
        <v>44914</v>
      </c>
      <c r="B511" s="157" t="s">
        <v>784</v>
      </c>
      <c r="C511" s="153">
        <v>0.23200000000000001</v>
      </c>
      <c r="D511" s="15">
        <v>0</v>
      </c>
      <c r="E511" s="135" t="s">
        <v>230</v>
      </c>
      <c r="F511" s="128" t="s">
        <v>13</v>
      </c>
      <c r="G511" s="106"/>
      <c r="H511" s="15">
        <v>0</v>
      </c>
      <c r="I511" s="15">
        <v>100</v>
      </c>
      <c r="J511" s="15">
        <v>0</v>
      </c>
      <c r="N511" s="14"/>
    </row>
    <row r="512" spans="1:16" ht="15" customHeight="1" x14ac:dyDescent="0.25">
      <c r="A512" s="154">
        <v>44915</v>
      </c>
      <c r="B512" s="157" t="s">
        <v>558</v>
      </c>
      <c r="C512" s="153">
        <v>0.14099999999999999</v>
      </c>
      <c r="D512" s="15">
        <v>0</v>
      </c>
      <c r="E512" s="135" t="s">
        <v>230</v>
      </c>
      <c r="F512" s="128" t="s">
        <v>13</v>
      </c>
      <c r="G512" s="106"/>
      <c r="H512" s="15">
        <v>0</v>
      </c>
      <c r="I512" s="15">
        <v>100</v>
      </c>
      <c r="J512" s="15">
        <v>0</v>
      </c>
      <c r="N512" s="14"/>
      <c r="O512" s="14"/>
    </row>
    <row r="513" spans="1:16" ht="15" customHeight="1" x14ac:dyDescent="0.25">
      <c r="A513" s="106">
        <v>44921</v>
      </c>
      <c r="B513" s="12" t="s">
        <v>785</v>
      </c>
      <c r="C513" s="111">
        <v>0.155</v>
      </c>
      <c r="D513" s="15">
        <v>100</v>
      </c>
      <c r="E513" s="135" t="s">
        <v>481</v>
      </c>
      <c r="F513" s="135" t="s">
        <v>216</v>
      </c>
      <c r="H513" s="15">
        <v>100</v>
      </c>
      <c r="I513" s="15">
        <v>0</v>
      </c>
      <c r="J513" s="15">
        <v>0</v>
      </c>
      <c r="M513" s="14">
        <v>4183.01</v>
      </c>
      <c r="N513" s="14">
        <f t="shared" ref="N513" si="146">M513/60</f>
        <v>69.716833333333341</v>
      </c>
      <c r="O513" s="14">
        <f t="shared" ref="O513" si="147">N513/60</f>
        <v>1.1619472222222222</v>
      </c>
    </row>
    <row r="514" spans="1:16" ht="15" customHeight="1" x14ac:dyDescent="0.25">
      <c r="A514" s="106">
        <v>44922</v>
      </c>
      <c r="B514" s="12" t="s">
        <v>786</v>
      </c>
      <c r="C514" s="111">
        <v>0.25600000000000001</v>
      </c>
      <c r="D514" s="15">
        <v>100</v>
      </c>
      <c r="E514" s="135" t="s">
        <v>505</v>
      </c>
      <c r="F514" s="135" t="s">
        <v>216</v>
      </c>
      <c r="H514" s="15">
        <v>100</v>
      </c>
      <c r="I514" s="15">
        <v>0</v>
      </c>
      <c r="J514" s="15">
        <v>0</v>
      </c>
      <c r="M514" s="14">
        <v>7126.2969999999996</v>
      </c>
      <c r="N514" s="14">
        <f t="shared" ref="N514" si="148">M514/60</f>
        <v>118.77161666666666</v>
      </c>
      <c r="O514" s="14">
        <f t="shared" ref="O514" si="149">N514/60</f>
        <v>1.9795269444444443</v>
      </c>
    </row>
    <row r="515" spans="1:16" ht="15" customHeight="1" x14ac:dyDescent="0.25">
      <c r="A515" s="106">
        <v>44923</v>
      </c>
      <c r="B515" s="12" t="s">
        <v>787</v>
      </c>
      <c r="C515" s="111">
        <v>0.36699999999999999</v>
      </c>
      <c r="D515" s="15">
        <v>0</v>
      </c>
      <c r="E515" s="135" t="s">
        <v>230</v>
      </c>
      <c r="F515" s="128" t="s">
        <v>13</v>
      </c>
      <c r="G515" s="106"/>
      <c r="H515" s="15">
        <v>0</v>
      </c>
      <c r="I515" s="15">
        <v>100</v>
      </c>
      <c r="J515" s="15">
        <v>0</v>
      </c>
      <c r="N515" s="14"/>
      <c r="O515" s="14"/>
      <c r="P515" s="14">
        <f>SUM(O509:O515)</f>
        <v>6.7087875000000006</v>
      </c>
    </row>
    <row r="516" spans="1:16" ht="15" customHeight="1" x14ac:dyDescent="0.25">
      <c r="A516" s="205">
        <v>2023</v>
      </c>
      <c r="B516" s="205"/>
      <c r="C516" s="205"/>
      <c r="D516" s="205"/>
      <c r="E516" s="205"/>
      <c r="F516" s="205"/>
      <c r="G516" s="205"/>
      <c r="N516" s="14"/>
      <c r="O516" s="14"/>
    </row>
    <row r="517" spans="1:16" ht="15" customHeight="1" x14ac:dyDescent="0.25">
      <c r="A517" s="154">
        <v>44942</v>
      </c>
      <c r="B517" s="157" t="s">
        <v>788</v>
      </c>
      <c r="C517" s="153">
        <v>0.40200000000000002</v>
      </c>
      <c r="D517" s="15">
        <v>100</v>
      </c>
      <c r="E517" s="135" t="s">
        <v>647</v>
      </c>
      <c r="F517" s="135" t="s">
        <v>216</v>
      </c>
      <c r="G517" s="29" t="s">
        <v>821</v>
      </c>
      <c r="H517" s="15">
        <v>100</v>
      </c>
      <c r="I517" s="15">
        <v>0</v>
      </c>
      <c r="J517" s="15">
        <v>0</v>
      </c>
      <c r="K517" s="124">
        <v>833</v>
      </c>
      <c r="L517" s="18">
        <f>100*K517/1060</f>
        <v>78.584905660377359</v>
      </c>
      <c r="M517" s="14">
        <v>7813.0309999999999</v>
      </c>
      <c r="N517" s="14">
        <f t="shared" ref="N517" si="150">M517/60</f>
        <v>130.21718333333334</v>
      </c>
      <c r="O517" s="14">
        <f t="shared" ref="O517" si="151">N517/60</f>
        <v>2.170286388888889</v>
      </c>
    </row>
    <row r="518" spans="1:16" ht="15" customHeight="1" x14ac:dyDescent="0.25">
      <c r="A518" s="154">
        <v>44943</v>
      </c>
      <c r="B518" s="157" t="s">
        <v>193</v>
      </c>
      <c r="C518" s="153">
        <v>0.28799999999999998</v>
      </c>
      <c r="D518" s="15">
        <v>0</v>
      </c>
      <c r="E518" s="135" t="s">
        <v>230</v>
      </c>
      <c r="F518" s="128" t="s">
        <v>13</v>
      </c>
      <c r="G518" s="106"/>
      <c r="H518" s="15">
        <v>0</v>
      </c>
      <c r="I518" s="15">
        <v>100</v>
      </c>
      <c r="J518" s="15">
        <v>0</v>
      </c>
      <c r="N518" s="14"/>
      <c r="O518" s="14"/>
    </row>
    <row r="519" spans="1:16" ht="15" customHeight="1" x14ac:dyDescent="0.25">
      <c r="A519" s="154">
        <v>44944</v>
      </c>
      <c r="B519" s="157" t="s">
        <v>789</v>
      </c>
      <c r="C519" s="153">
        <v>0.186</v>
      </c>
      <c r="D519" s="15">
        <v>0</v>
      </c>
      <c r="E519" s="135" t="s">
        <v>230</v>
      </c>
      <c r="F519" s="128" t="s">
        <v>13</v>
      </c>
      <c r="G519" s="106"/>
      <c r="H519" s="15">
        <v>0</v>
      </c>
      <c r="I519" s="15">
        <v>100</v>
      </c>
      <c r="J519" s="15">
        <v>0</v>
      </c>
      <c r="N519" s="14"/>
      <c r="O519" s="14"/>
    </row>
    <row r="520" spans="1:16" ht="15" customHeight="1" x14ac:dyDescent="0.25">
      <c r="A520" s="106">
        <v>44950</v>
      </c>
      <c r="B520" s="12" t="s">
        <v>790</v>
      </c>
      <c r="C520" s="111">
        <v>0.11899999999999999</v>
      </c>
      <c r="D520" s="15">
        <v>0</v>
      </c>
      <c r="E520" s="135" t="s">
        <v>230</v>
      </c>
      <c r="F520" s="128" t="s">
        <v>13</v>
      </c>
      <c r="H520" s="15">
        <v>0</v>
      </c>
      <c r="I520" s="15">
        <v>100</v>
      </c>
      <c r="J520" s="15">
        <v>0</v>
      </c>
      <c r="N520" s="14"/>
      <c r="O520" s="14"/>
    </row>
    <row r="521" spans="1:16" ht="15" customHeight="1" x14ac:dyDescent="0.25">
      <c r="A521" s="106">
        <v>44951</v>
      </c>
      <c r="B521" s="12" t="s">
        <v>791</v>
      </c>
      <c r="C521" s="111">
        <v>0.21</v>
      </c>
      <c r="D521" s="15">
        <v>0</v>
      </c>
      <c r="E521" s="135" t="s">
        <v>230</v>
      </c>
      <c r="F521" s="128" t="s">
        <v>13</v>
      </c>
      <c r="H521" s="15">
        <v>0</v>
      </c>
      <c r="I521" s="15">
        <v>100</v>
      </c>
      <c r="J521" s="15">
        <v>0</v>
      </c>
      <c r="N521" s="14"/>
      <c r="O521" s="14"/>
    </row>
    <row r="522" spans="1:16" ht="15" customHeight="1" x14ac:dyDescent="0.25">
      <c r="A522" s="106">
        <v>44952</v>
      </c>
      <c r="B522" s="12" t="s">
        <v>792</v>
      </c>
      <c r="C522" s="111">
        <v>0.314</v>
      </c>
      <c r="D522" s="15">
        <v>0</v>
      </c>
      <c r="E522" s="135" t="s">
        <v>230</v>
      </c>
      <c r="F522" s="128" t="s">
        <v>13</v>
      </c>
      <c r="H522" s="15">
        <v>0</v>
      </c>
      <c r="I522" s="15">
        <v>100</v>
      </c>
      <c r="J522" s="15">
        <v>0</v>
      </c>
      <c r="N522" s="14"/>
      <c r="O522" s="14"/>
    </row>
    <row r="523" spans="1:16" ht="15" customHeight="1" x14ac:dyDescent="0.25">
      <c r="A523" s="106">
        <v>44953</v>
      </c>
      <c r="B523" s="12" t="s">
        <v>793</v>
      </c>
      <c r="C523" s="111">
        <v>0.42299999999999999</v>
      </c>
      <c r="D523" s="15">
        <v>0</v>
      </c>
      <c r="E523" s="135" t="s">
        <v>230</v>
      </c>
      <c r="F523" s="128" t="s">
        <v>13</v>
      </c>
      <c r="H523" s="15">
        <v>0</v>
      </c>
      <c r="I523" s="15">
        <v>100</v>
      </c>
      <c r="J523" s="15">
        <v>0</v>
      </c>
      <c r="N523" s="14"/>
      <c r="O523" s="14"/>
      <c r="P523" s="14">
        <f>SUM(O517:O523)</f>
        <v>2.170286388888889</v>
      </c>
    </row>
    <row r="524" spans="1:16" ht="15" customHeight="1" x14ac:dyDescent="0.25">
      <c r="A524" s="177">
        <v>44971</v>
      </c>
      <c r="B524" s="178" t="s">
        <v>794</v>
      </c>
      <c r="C524" s="179">
        <v>0.45800000000000002</v>
      </c>
      <c r="N524" s="14"/>
      <c r="O524" s="14"/>
    </row>
    <row r="525" spans="1:16" ht="15" customHeight="1" x14ac:dyDescent="0.25">
      <c r="A525" s="196">
        <v>44972</v>
      </c>
      <c r="B525" s="197" t="s">
        <v>795</v>
      </c>
      <c r="C525" s="198">
        <v>0.33700000000000002</v>
      </c>
      <c r="D525" s="15">
        <v>100</v>
      </c>
      <c r="E525" s="135" t="s">
        <v>230</v>
      </c>
      <c r="F525" s="135" t="s">
        <v>216</v>
      </c>
      <c r="H525" s="15">
        <v>100</v>
      </c>
      <c r="I525" s="15">
        <v>0</v>
      </c>
      <c r="J525" s="15">
        <v>0</v>
      </c>
      <c r="L525" s="18"/>
      <c r="M525" s="14">
        <v>2756.4349999999999</v>
      </c>
      <c r="N525" s="14">
        <f t="shared" ref="N525" si="152">M525/60</f>
        <v>45.940583333333329</v>
      </c>
      <c r="O525" s="14">
        <f t="shared" ref="O525" si="153">N525/60</f>
        <v>0.76567638888888878</v>
      </c>
    </row>
    <row r="526" spans="1:16" ht="15" customHeight="1" x14ac:dyDescent="0.25">
      <c r="A526" s="199">
        <v>44979</v>
      </c>
      <c r="B526" s="17" t="s">
        <v>796</v>
      </c>
      <c r="C526" s="200">
        <v>8.4000000000000005E-2</v>
      </c>
      <c r="D526" s="15">
        <v>100</v>
      </c>
      <c r="E526" s="135" t="s">
        <v>644</v>
      </c>
      <c r="F526" s="135" t="s">
        <v>216</v>
      </c>
      <c r="H526" s="15">
        <v>100</v>
      </c>
      <c r="I526" s="15">
        <v>0</v>
      </c>
      <c r="J526" s="15">
        <v>0</v>
      </c>
      <c r="M526" s="14">
        <v>2941.01</v>
      </c>
      <c r="N526" s="14">
        <f t="shared" ref="N526" si="154">M526/60</f>
        <v>49.016833333333338</v>
      </c>
      <c r="O526" s="14">
        <f t="shared" ref="O526" si="155">N526/60</f>
        <v>0.81694722222222227</v>
      </c>
    </row>
    <row r="527" spans="1:16" ht="15" customHeight="1" x14ac:dyDescent="0.25">
      <c r="A527" s="106">
        <v>44980</v>
      </c>
      <c r="B527" s="12" t="s">
        <v>129</v>
      </c>
      <c r="C527" s="111">
        <v>0.16200000000000001</v>
      </c>
      <c r="D527" s="15">
        <v>0</v>
      </c>
      <c r="E527" s="135" t="s">
        <v>230</v>
      </c>
      <c r="F527" s="128" t="s">
        <v>13</v>
      </c>
      <c r="H527" s="15">
        <v>0</v>
      </c>
      <c r="I527" s="15">
        <v>100</v>
      </c>
      <c r="J527" s="15">
        <v>0</v>
      </c>
    </row>
    <row r="528" spans="1:16" ht="15" customHeight="1" x14ac:dyDescent="0.25">
      <c r="A528" s="106">
        <v>44981</v>
      </c>
      <c r="B528" s="12" t="s">
        <v>797</v>
      </c>
      <c r="C528" s="111">
        <v>0.25600000000000001</v>
      </c>
      <c r="D528" s="15">
        <v>74</v>
      </c>
      <c r="E528" s="135" t="s">
        <v>209</v>
      </c>
      <c r="F528" s="135" t="s">
        <v>216</v>
      </c>
      <c r="H528" s="15">
        <v>74</v>
      </c>
      <c r="I528" s="15">
        <v>26</v>
      </c>
      <c r="J528" s="15">
        <v>0</v>
      </c>
      <c r="M528" s="14">
        <v>6724.625</v>
      </c>
      <c r="N528" s="14">
        <f t="shared" ref="N528" si="156">M528/60</f>
        <v>112.07708333333333</v>
      </c>
      <c r="O528" s="14">
        <f t="shared" ref="O528" si="157">N528/60</f>
        <v>1.867951388888889</v>
      </c>
    </row>
    <row r="529" spans="1:16" ht="15" customHeight="1" x14ac:dyDescent="0.25">
      <c r="A529" s="106">
        <v>44982</v>
      </c>
      <c r="B529" s="12" t="s">
        <v>798</v>
      </c>
      <c r="C529" s="111">
        <v>0.35699999999999998</v>
      </c>
      <c r="D529" s="15">
        <v>0</v>
      </c>
      <c r="E529" s="135" t="s">
        <v>230</v>
      </c>
      <c r="F529" s="128" t="s">
        <v>13</v>
      </c>
      <c r="H529" s="15">
        <v>0</v>
      </c>
      <c r="I529" s="15">
        <v>100</v>
      </c>
      <c r="J529" s="15">
        <v>0</v>
      </c>
    </row>
    <row r="530" spans="1:16" ht="15" customHeight="1" x14ac:dyDescent="0.25">
      <c r="A530" s="122">
        <v>44983</v>
      </c>
      <c r="B530" s="16" t="s">
        <v>799</v>
      </c>
      <c r="C530" s="173">
        <v>0.46</v>
      </c>
      <c r="P530" s="14">
        <f>SUM(O524:O530)</f>
        <v>3.4505749999999997</v>
      </c>
    </row>
    <row r="531" spans="1:16" ht="15" customHeight="1" x14ac:dyDescent="0.25">
      <c r="A531" s="201" t="s">
        <v>800</v>
      </c>
      <c r="B531" s="202"/>
      <c r="C531" s="203"/>
      <c r="N531" s="14"/>
    </row>
    <row r="532" spans="1:16" ht="15" customHeight="1" x14ac:dyDescent="0.25">
      <c r="A532" s="106">
        <v>45009</v>
      </c>
      <c r="B532" s="12" t="s">
        <v>801</v>
      </c>
      <c r="C532" s="111">
        <v>0.11700000000000001</v>
      </c>
      <c r="D532" s="15">
        <v>100</v>
      </c>
      <c r="E532" s="135" t="s">
        <v>209</v>
      </c>
      <c r="F532" s="135" t="s">
        <v>198</v>
      </c>
      <c r="H532" s="15">
        <v>100</v>
      </c>
      <c r="I532" s="15">
        <v>0</v>
      </c>
      <c r="J532" s="15">
        <v>0</v>
      </c>
      <c r="M532" s="14">
        <v>3929.136</v>
      </c>
      <c r="N532" s="14">
        <f t="shared" ref="N532" si="158">M532/60</f>
        <v>65.485600000000005</v>
      </c>
      <c r="O532" s="14">
        <f t="shared" ref="O532" si="159">N532/60</f>
        <v>1.0914266666666668</v>
      </c>
    </row>
    <row r="533" spans="1:16" ht="15" customHeight="1" x14ac:dyDescent="0.25">
      <c r="A533" s="106">
        <v>45010</v>
      </c>
      <c r="B533" s="12" t="s">
        <v>802</v>
      </c>
      <c r="C533" s="111">
        <v>0.19800000000000001</v>
      </c>
      <c r="D533" s="15">
        <v>0</v>
      </c>
      <c r="E533" s="135" t="s">
        <v>230</v>
      </c>
      <c r="F533" s="128" t="s">
        <v>13</v>
      </c>
      <c r="H533" s="15">
        <v>0</v>
      </c>
      <c r="I533" s="15">
        <v>100</v>
      </c>
      <c r="J533" s="15">
        <v>0</v>
      </c>
    </row>
    <row r="534" spans="1:16" ht="15" customHeight="1" x14ac:dyDescent="0.25">
      <c r="A534" s="106">
        <v>45011</v>
      </c>
      <c r="B534" s="12" t="s">
        <v>803</v>
      </c>
      <c r="C534" s="111">
        <v>0.28999999999999998</v>
      </c>
      <c r="D534" s="15">
        <v>100</v>
      </c>
      <c r="E534" s="135" t="s">
        <v>647</v>
      </c>
      <c r="F534" s="135" t="s">
        <v>216</v>
      </c>
      <c r="H534" s="15">
        <v>100</v>
      </c>
      <c r="I534" s="15">
        <v>0</v>
      </c>
      <c r="J534" s="15">
        <v>0</v>
      </c>
      <c r="M534" s="14">
        <v>8345.6880000000001</v>
      </c>
      <c r="N534" s="14">
        <f t="shared" ref="N534" si="160">M534/60</f>
        <v>139.09479999999999</v>
      </c>
      <c r="O534" s="14">
        <f t="shared" ref="O534" si="161">N534/60</f>
        <v>2.3182466666666666</v>
      </c>
    </row>
    <row r="535" spans="1:16" ht="15" customHeight="1" x14ac:dyDescent="0.25">
      <c r="A535" s="106">
        <v>45012</v>
      </c>
      <c r="B535" s="12" t="s">
        <v>804</v>
      </c>
      <c r="C535" s="111">
        <v>0.38800000000000001</v>
      </c>
      <c r="D535" s="15">
        <v>39</v>
      </c>
      <c r="E535" s="135" t="s">
        <v>210</v>
      </c>
      <c r="F535" s="135" t="s">
        <v>199</v>
      </c>
      <c r="G535" s="29" t="s">
        <v>770</v>
      </c>
      <c r="H535" s="15">
        <v>39</v>
      </c>
      <c r="I535" s="15">
        <v>61</v>
      </c>
      <c r="J535" s="15">
        <v>0</v>
      </c>
      <c r="M535" s="14">
        <v>5066.4170000000004</v>
      </c>
      <c r="N535" s="14">
        <f t="shared" ref="N535" si="162">M535/60</f>
        <v>84.44028333333334</v>
      </c>
      <c r="O535" s="14">
        <f t="shared" ref="O535" si="163">N535/60</f>
        <v>1.4073380555555557</v>
      </c>
      <c r="P535" s="14">
        <f>SUM(O532:O535)</f>
        <v>4.817011388888889</v>
      </c>
    </row>
    <row r="536" spans="1:16" ht="15" customHeight="1" x14ac:dyDescent="0.25">
      <c r="A536" s="201" t="s">
        <v>823</v>
      </c>
      <c r="B536" s="202"/>
      <c r="C536" s="203"/>
      <c r="D536" s="15"/>
      <c r="E536" s="135"/>
      <c r="F536" s="135"/>
    </row>
    <row r="537" spans="1:16" ht="15" customHeight="1" x14ac:dyDescent="0.25">
      <c r="A537" s="199">
        <v>45038</v>
      </c>
      <c r="B537" s="19" t="s">
        <v>826</v>
      </c>
      <c r="C537" s="200">
        <v>7.8E-2</v>
      </c>
      <c r="D537" s="15">
        <v>0</v>
      </c>
      <c r="E537" s="135" t="s">
        <v>230</v>
      </c>
      <c r="F537" s="128" t="s">
        <v>13</v>
      </c>
      <c r="G537" s="106"/>
      <c r="H537" s="15">
        <v>0</v>
      </c>
      <c r="I537" s="15">
        <v>100</v>
      </c>
      <c r="J537" s="15">
        <v>0</v>
      </c>
      <c r="O537" s="14"/>
    </row>
    <row r="538" spans="1:16" ht="15" customHeight="1" x14ac:dyDescent="0.25">
      <c r="A538" s="199">
        <v>45039</v>
      </c>
      <c r="B538" s="19" t="s">
        <v>827</v>
      </c>
      <c r="C538" s="200">
        <v>0.14599999999999999</v>
      </c>
      <c r="D538" s="15">
        <v>100</v>
      </c>
      <c r="E538" s="135" t="s">
        <v>647</v>
      </c>
      <c r="F538" s="135" t="s">
        <v>216</v>
      </c>
      <c r="H538" s="15">
        <v>100</v>
      </c>
      <c r="I538" s="15">
        <v>0</v>
      </c>
      <c r="J538" s="15">
        <v>0</v>
      </c>
      <c r="M538" s="14">
        <v>4949.692</v>
      </c>
      <c r="N538" s="14">
        <f t="shared" ref="N538" si="164">M538/60</f>
        <v>82.494866666666667</v>
      </c>
      <c r="O538" s="14">
        <f t="shared" ref="O538" si="165">N538/60</f>
        <v>1.3749144444444446</v>
      </c>
    </row>
    <row r="539" spans="1:16" ht="15" customHeight="1" x14ac:dyDescent="0.25">
      <c r="A539" s="199">
        <v>45040</v>
      </c>
      <c r="B539" s="19" t="s">
        <v>828</v>
      </c>
      <c r="C539" s="200">
        <v>0.22600000000000001</v>
      </c>
      <c r="D539" s="15">
        <v>71.5</v>
      </c>
      <c r="E539" s="135" t="s">
        <v>278</v>
      </c>
      <c r="F539" s="135" t="s">
        <v>198</v>
      </c>
      <c r="G539" s="29" t="s">
        <v>852</v>
      </c>
      <c r="H539" s="15">
        <v>72</v>
      </c>
      <c r="I539" s="15">
        <v>28</v>
      </c>
      <c r="J539" s="15">
        <v>0</v>
      </c>
      <c r="M539" s="14">
        <v>6066.549</v>
      </c>
      <c r="N539" s="14">
        <f t="shared" ref="N539" si="166">M539/60</f>
        <v>101.10915</v>
      </c>
      <c r="O539" s="14">
        <f t="shared" ref="O539" si="167">N539/60</f>
        <v>1.6851525000000001</v>
      </c>
    </row>
    <row r="540" spans="1:16" ht="15" customHeight="1" x14ac:dyDescent="0.25">
      <c r="A540" s="199">
        <v>45041</v>
      </c>
      <c r="B540" s="19" t="s">
        <v>829</v>
      </c>
      <c r="C540" s="200">
        <v>0.316</v>
      </c>
      <c r="D540" s="15">
        <v>21</v>
      </c>
      <c r="E540" s="135" t="s">
        <v>230</v>
      </c>
      <c r="F540" s="135" t="s">
        <v>199</v>
      </c>
      <c r="G540" s="29" t="s">
        <v>853</v>
      </c>
      <c r="H540" s="15">
        <v>21</v>
      </c>
      <c r="I540" s="15">
        <v>79</v>
      </c>
      <c r="J540" s="15">
        <v>0</v>
      </c>
      <c r="M540" s="14">
        <v>2353.59</v>
      </c>
      <c r="N540" s="14">
        <f t="shared" ref="N540" si="168">M540/60</f>
        <v>39.226500000000001</v>
      </c>
      <c r="O540" s="14">
        <f t="shared" ref="O540" si="169">N540/60</f>
        <v>0.653775</v>
      </c>
    </row>
    <row r="541" spans="1:16" ht="15" customHeight="1" x14ac:dyDescent="0.25">
      <c r="A541" s="199">
        <v>45042</v>
      </c>
      <c r="B541" s="19" t="s">
        <v>830</v>
      </c>
      <c r="C541" s="200">
        <v>0.41099999999999998</v>
      </c>
      <c r="D541" s="15">
        <v>44</v>
      </c>
      <c r="E541" s="135" t="s">
        <v>230</v>
      </c>
      <c r="F541" s="135" t="s">
        <v>199</v>
      </c>
      <c r="G541" s="29" t="s">
        <v>854</v>
      </c>
      <c r="H541" s="15">
        <v>44</v>
      </c>
      <c r="I541" s="15">
        <v>56</v>
      </c>
      <c r="J541" s="15">
        <v>0</v>
      </c>
      <c r="M541" s="14">
        <v>5661</v>
      </c>
      <c r="N541" s="14">
        <f t="shared" ref="N541" si="170">M541/60</f>
        <v>94.35</v>
      </c>
      <c r="O541" s="14">
        <f t="shared" ref="O541" si="171">N541/60</f>
        <v>1.5725</v>
      </c>
      <c r="P541" s="14">
        <f>SUM(O538:O541)</f>
        <v>5.2863419444444446</v>
      </c>
    </row>
    <row r="542" spans="1:16" ht="15" customHeight="1" x14ac:dyDescent="0.25">
      <c r="A542" s="196">
        <v>45059</v>
      </c>
      <c r="B542" s="169" t="s">
        <v>824</v>
      </c>
      <c r="C542" s="153">
        <v>0.44600000000000001</v>
      </c>
      <c r="D542" s="15">
        <v>0</v>
      </c>
      <c r="E542" s="135" t="s">
        <v>230</v>
      </c>
      <c r="F542" s="128" t="s">
        <v>13</v>
      </c>
      <c r="G542" s="29" t="s">
        <v>825</v>
      </c>
      <c r="H542" s="15">
        <v>0</v>
      </c>
      <c r="I542" s="15">
        <v>100</v>
      </c>
      <c r="J542" s="15">
        <v>0</v>
      </c>
    </row>
    <row r="543" spans="1:16" ht="15" customHeight="1" x14ac:dyDescent="0.25">
      <c r="A543" s="199">
        <v>45068</v>
      </c>
      <c r="B543" s="12" t="s">
        <v>831</v>
      </c>
      <c r="C543" s="111">
        <v>0.10100000000000001</v>
      </c>
      <c r="D543" s="15">
        <v>0</v>
      </c>
      <c r="E543" s="135" t="s">
        <v>230</v>
      </c>
      <c r="F543" s="128" t="s">
        <v>13</v>
      </c>
      <c r="G543" s="106"/>
      <c r="H543" s="15">
        <v>0</v>
      </c>
      <c r="I543" s="15">
        <v>100</v>
      </c>
      <c r="J543" s="15">
        <v>0</v>
      </c>
    </row>
    <row r="544" spans="1:16" ht="15" customHeight="1" x14ac:dyDescent="0.25">
      <c r="A544" s="199">
        <v>45069</v>
      </c>
      <c r="B544" s="12" t="s">
        <v>832</v>
      </c>
      <c r="C544" s="111">
        <v>0.16900000000000001</v>
      </c>
      <c r="D544" s="15">
        <v>75</v>
      </c>
      <c r="E544" s="135" t="s">
        <v>647</v>
      </c>
      <c r="F544" s="135" t="s">
        <v>216</v>
      </c>
      <c r="G544" s="29" t="s">
        <v>237</v>
      </c>
      <c r="H544" s="15">
        <v>75</v>
      </c>
      <c r="I544" s="15">
        <v>25</v>
      </c>
      <c r="J544" s="15">
        <v>0</v>
      </c>
      <c r="M544" s="14">
        <v>4758.62</v>
      </c>
      <c r="N544" s="14">
        <f t="shared" ref="N544" si="172">M544/60</f>
        <v>79.310333333333332</v>
      </c>
      <c r="O544" s="14">
        <f t="shared" ref="O544" si="173">N544/60</f>
        <v>1.3218388888888888</v>
      </c>
    </row>
    <row r="545" spans="1:16" ht="15" customHeight="1" x14ac:dyDescent="0.25">
      <c r="A545" s="199">
        <v>45070</v>
      </c>
      <c r="B545" s="12" t="s">
        <v>833</v>
      </c>
      <c r="C545" s="111">
        <v>0.249</v>
      </c>
      <c r="D545" s="15">
        <v>100</v>
      </c>
      <c r="E545" s="135" t="s">
        <v>644</v>
      </c>
      <c r="F545" s="135" t="s">
        <v>216</v>
      </c>
      <c r="H545" s="15">
        <v>100</v>
      </c>
      <c r="I545" s="15">
        <v>0</v>
      </c>
      <c r="J545" s="15">
        <v>0</v>
      </c>
      <c r="M545" s="14">
        <v>6824.4219999999996</v>
      </c>
      <c r="N545" s="14">
        <f t="shared" ref="N545" si="174">M545/60</f>
        <v>113.74036666666666</v>
      </c>
      <c r="O545" s="14">
        <f t="shared" ref="O545" si="175">N545/60</f>
        <v>1.8956727777777778</v>
      </c>
    </row>
    <row r="546" spans="1:16" ht="15" customHeight="1" x14ac:dyDescent="0.25">
      <c r="A546" s="199">
        <v>45071</v>
      </c>
      <c r="B546" s="12" t="s">
        <v>834</v>
      </c>
      <c r="C546" s="111">
        <v>0.33800000000000002</v>
      </c>
      <c r="D546" s="15">
        <v>60</v>
      </c>
      <c r="E546" s="135" t="s">
        <v>647</v>
      </c>
      <c r="F546" s="135" t="s">
        <v>216</v>
      </c>
      <c r="G546" s="29" t="s">
        <v>856</v>
      </c>
      <c r="H546" s="15">
        <v>60</v>
      </c>
      <c r="I546" s="15">
        <v>40</v>
      </c>
      <c r="J546" s="15">
        <v>0</v>
      </c>
      <c r="M546" s="14">
        <v>5833.6279999999997</v>
      </c>
      <c r="N546" s="14">
        <f t="shared" ref="N546" si="176">M546/60</f>
        <v>97.227133333333327</v>
      </c>
      <c r="O546" s="14">
        <f t="shared" ref="O546" si="177">N546/60</f>
        <v>1.6204522222222222</v>
      </c>
    </row>
    <row r="547" spans="1:16" ht="15" customHeight="1" x14ac:dyDescent="0.25">
      <c r="A547" s="199">
        <v>45072</v>
      </c>
      <c r="B547" s="12" t="s">
        <v>835</v>
      </c>
      <c r="C547" s="111">
        <v>0.432</v>
      </c>
      <c r="D547" s="15">
        <v>81</v>
      </c>
      <c r="E547" s="135" t="s">
        <v>647</v>
      </c>
      <c r="F547" s="135" t="s">
        <v>198</v>
      </c>
      <c r="G547" s="106" t="s">
        <v>858</v>
      </c>
      <c r="H547" s="15">
        <v>81</v>
      </c>
      <c r="I547" s="15">
        <v>19</v>
      </c>
      <c r="J547" s="15">
        <v>0</v>
      </c>
      <c r="K547" s="124">
        <f>1080-354</f>
        <v>726</v>
      </c>
      <c r="L547" s="18">
        <f>100*K547/1060</f>
        <v>68.490566037735846</v>
      </c>
      <c r="M547" s="14">
        <v>8968.6200000000008</v>
      </c>
      <c r="N547" s="14">
        <f t="shared" ref="N547:N548" si="178">M547/60</f>
        <v>149.477</v>
      </c>
      <c r="O547" s="14">
        <f t="shared" ref="O547:O548" si="179">N547/60</f>
        <v>2.4912833333333335</v>
      </c>
      <c r="P547" s="14">
        <f>SUM(O542:O547)</f>
        <v>7.3292472222222225</v>
      </c>
    </row>
    <row r="548" spans="1:16" ht="15" customHeight="1" x14ac:dyDescent="0.25">
      <c r="A548" s="196">
        <v>45089</v>
      </c>
      <c r="B548" s="169" t="s">
        <v>837</v>
      </c>
      <c r="C548" s="153">
        <v>0.36399999999999999</v>
      </c>
      <c r="D548" s="15">
        <v>65</v>
      </c>
      <c r="E548" s="135" t="s">
        <v>230</v>
      </c>
      <c r="F548" s="135" t="s">
        <v>199</v>
      </c>
      <c r="G548" s="29" t="s">
        <v>860</v>
      </c>
      <c r="H548" s="15">
        <v>65</v>
      </c>
      <c r="I548" s="15">
        <v>35</v>
      </c>
      <c r="J548" s="15">
        <v>0</v>
      </c>
      <c r="M548" s="14">
        <v>2216.5790000000002</v>
      </c>
      <c r="N548" s="14">
        <f t="shared" si="178"/>
        <v>36.942983333333338</v>
      </c>
      <c r="O548" s="14">
        <f t="shared" si="179"/>
        <v>0.61571638888888891</v>
      </c>
    </row>
    <row r="549" spans="1:16" ht="15" customHeight="1" x14ac:dyDescent="0.25">
      <c r="A549" s="196">
        <v>45090</v>
      </c>
      <c r="B549" s="169" t="s">
        <v>838</v>
      </c>
      <c r="C549" s="153">
        <v>0.26100000000000001</v>
      </c>
      <c r="D549" s="15">
        <v>0</v>
      </c>
      <c r="E549" s="135" t="s">
        <v>230</v>
      </c>
      <c r="F549" s="135" t="s">
        <v>554</v>
      </c>
      <c r="G549" s="137" t="s">
        <v>861</v>
      </c>
      <c r="H549" s="15">
        <v>0</v>
      </c>
      <c r="I549" s="15">
        <v>100</v>
      </c>
      <c r="J549" s="15">
        <v>0</v>
      </c>
      <c r="N549" s="14"/>
      <c r="O549" s="14"/>
    </row>
    <row r="550" spans="1:16" ht="15" customHeight="1" x14ac:dyDescent="0.25">
      <c r="A550" s="196">
        <v>45091</v>
      </c>
      <c r="B550" s="169" t="s">
        <v>836</v>
      </c>
      <c r="C550" s="153">
        <v>0.17</v>
      </c>
      <c r="D550" s="15">
        <v>0</v>
      </c>
      <c r="E550" s="135" t="s">
        <v>230</v>
      </c>
      <c r="F550" s="135" t="s">
        <v>554</v>
      </c>
      <c r="G550" s="137" t="s">
        <v>861</v>
      </c>
      <c r="H550" s="15">
        <v>0</v>
      </c>
      <c r="I550" s="15">
        <v>100</v>
      </c>
      <c r="J550" s="15">
        <v>0</v>
      </c>
      <c r="N550" s="14"/>
      <c r="O550" s="14"/>
    </row>
    <row r="551" spans="1:16" ht="15" customHeight="1" x14ac:dyDescent="0.25">
      <c r="A551" s="199">
        <v>45098</v>
      </c>
      <c r="B551" s="13" t="s">
        <v>839</v>
      </c>
      <c r="C551" s="111">
        <v>0.12</v>
      </c>
      <c r="D551" s="15">
        <v>68</v>
      </c>
      <c r="E551" s="135" t="s">
        <v>647</v>
      </c>
      <c r="F551" s="135" t="s">
        <v>216</v>
      </c>
      <c r="G551" s="29" t="s">
        <v>862</v>
      </c>
      <c r="H551" s="15">
        <v>68</v>
      </c>
      <c r="I551" s="15">
        <v>32</v>
      </c>
      <c r="J551" s="15">
        <v>0</v>
      </c>
      <c r="K551" s="27"/>
      <c r="M551" s="14">
        <v>2382.547</v>
      </c>
      <c r="N551" s="14">
        <f t="shared" ref="N551" si="180">M551/60</f>
        <v>39.709116666666667</v>
      </c>
      <c r="O551" s="14">
        <f t="shared" ref="O551" si="181">N551/60</f>
        <v>0.66181861111111107</v>
      </c>
    </row>
    <row r="552" spans="1:16" ht="15" customHeight="1" x14ac:dyDescent="0.25">
      <c r="A552" s="199">
        <v>45099</v>
      </c>
      <c r="B552" s="13" t="s">
        <v>840</v>
      </c>
      <c r="C552" s="111">
        <v>0.191</v>
      </c>
      <c r="D552" s="15">
        <v>100</v>
      </c>
      <c r="E552" s="135" t="s">
        <v>481</v>
      </c>
      <c r="F552" s="135" t="s">
        <v>216</v>
      </c>
      <c r="G552" s="12"/>
      <c r="H552" s="15">
        <v>100</v>
      </c>
      <c r="I552" s="15">
        <v>0</v>
      </c>
      <c r="J552" s="15">
        <v>0</v>
      </c>
      <c r="M552" s="14">
        <v>4089.2849999999999</v>
      </c>
      <c r="N552" s="14">
        <f t="shared" ref="N552" si="182">M552/60</f>
        <v>68.154749999999993</v>
      </c>
      <c r="O552" s="14">
        <f t="shared" ref="O552" si="183">N552/60</f>
        <v>1.1359124999999999</v>
      </c>
    </row>
    <row r="553" spans="1:16" ht="15" customHeight="1" x14ac:dyDescent="0.25">
      <c r="A553" s="199">
        <v>45100</v>
      </c>
      <c r="B553" s="13" t="s">
        <v>841</v>
      </c>
      <c r="C553" s="111">
        <v>0.27200000000000002</v>
      </c>
      <c r="D553" s="15">
        <v>100</v>
      </c>
      <c r="E553" s="135" t="s">
        <v>230</v>
      </c>
      <c r="F553" s="135" t="s">
        <v>216</v>
      </c>
      <c r="H553" s="15">
        <v>100</v>
      </c>
      <c r="I553" s="15">
        <v>0</v>
      </c>
      <c r="J553" s="15">
        <v>0</v>
      </c>
      <c r="M553" s="14">
        <v>5290.5519999999997</v>
      </c>
      <c r="N553" s="14">
        <f t="shared" ref="N553" si="184">M553/60</f>
        <v>88.175866666666664</v>
      </c>
      <c r="O553" s="14">
        <f t="shared" ref="O553" si="185">N553/60</f>
        <v>1.4695977777777778</v>
      </c>
    </row>
    <row r="554" spans="1:16" ht="15" customHeight="1" x14ac:dyDescent="0.25">
      <c r="A554" s="199">
        <v>45101</v>
      </c>
      <c r="B554" s="13" t="s">
        <v>842</v>
      </c>
      <c r="C554" s="111">
        <v>0.36199999999999999</v>
      </c>
      <c r="D554" s="15">
        <v>18</v>
      </c>
      <c r="E554" s="135" t="s">
        <v>230</v>
      </c>
      <c r="F554" s="135" t="s">
        <v>199</v>
      </c>
      <c r="G554" s="29" t="s">
        <v>863</v>
      </c>
      <c r="H554" s="15">
        <v>18</v>
      </c>
      <c r="I554" s="15">
        <v>82</v>
      </c>
      <c r="J554" s="15">
        <v>0</v>
      </c>
      <c r="M554" s="14">
        <v>1793.5170000000001</v>
      </c>
      <c r="N554" s="14">
        <f>M554/60</f>
        <v>29.891950000000001</v>
      </c>
      <c r="O554" s="14">
        <f t="shared" ref="O554" si="186">N554/60</f>
        <v>0.49819916666666669</v>
      </c>
      <c r="P554" s="14">
        <f>SUM(O548:O554)</f>
        <v>4.3812444444444445</v>
      </c>
    </row>
    <row r="555" spans="1:16" ht="15" customHeight="1" x14ac:dyDescent="0.25">
      <c r="A555" s="196">
        <v>45118</v>
      </c>
      <c r="B555" s="169" t="s">
        <v>843</v>
      </c>
      <c r="C555" s="153">
        <v>0.39900000000000002</v>
      </c>
      <c r="D555" s="15">
        <v>0</v>
      </c>
      <c r="E555" s="135" t="s">
        <v>230</v>
      </c>
      <c r="F555" s="135" t="s">
        <v>198</v>
      </c>
      <c r="G555" s="29" t="s">
        <v>865</v>
      </c>
      <c r="H555" s="15">
        <v>0</v>
      </c>
      <c r="I555" s="15">
        <v>0</v>
      </c>
      <c r="J555" s="15">
        <v>100</v>
      </c>
      <c r="N555" s="14"/>
      <c r="O555" s="14"/>
    </row>
    <row r="556" spans="1:16" ht="15" customHeight="1" x14ac:dyDescent="0.25">
      <c r="A556" s="196">
        <v>45119</v>
      </c>
      <c r="B556" s="169" t="s">
        <v>844</v>
      </c>
      <c r="C556" s="153">
        <v>0.29599999999999999</v>
      </c>
      <c r="D556" s="15">
        <v>0</v>
      </c>
      <c r="E556" s="135" t="s">
        <v>230</v>
      </c>
      <c r="F556" s="135" t="s">
        <v>198</v>
      </c>
      <c r="G556" s="29" t="s">
        <v>865</v>
      </c>
      <c r="H556" s="15">
        <v>0</v>
      </c>
      <c r="I556" s="15">
        <v>0</v>
      </c>
      <c r="J556" s="15">
        <v>100</v>
      </c>
      <c r="N556" s="14"/>
      <c r="O556" s="14"/>
    </row>
    <row r="557" spans="1:16" ht="15" customHeight="1" x14ac:dyDescent="0.25">
      <c r="A557" s="196">
        <v>45120</v>
      </c>
      <c r="B557" s="169" t="s">
        <v>845</v>
      </c>
      <c r="C557" s="153">
        <v>0.20399999999999999</v>
      </c>
      <c r="D557" s="15">
        <v>0</v>
      </c>
      <c r="E557" s="135" t="s">
        <v>230</v>
      </c>
      <c r="F557" s="135" t="s">
        <v>198</v>
      </c>
      <c r="G557" s="29" t="s">
        <v>865</v>
      </c>
      <c r="H557" s="15">
        <v>0</v>
      </c>
      <c r="I557" s="15">
        <v>0</v>
      </c>
      <c r="J557" s="15">
        <v>100</v>
      </c>
      <c r="L557" s="27"/>
      <c r="N557" s="14"/>
      <c r="O557" s="14"/>
    </row>
    <row r="558" spans="1:16" ht="15" customHeight="1" x14ac:dyDescent="0.25">
      <c r="A558" s="196">
        <v>45121</v>
      </c>
      <c r="B558" s="169" t="s">
        <v>846</v>
      </c>
      <c r="C558" s="153">
        <v>0.127</v>
      </c>
      <c r="D558" s="15">
        <v>0</v>
      </c>
      <c r="E558" s="135" t="s">
        <v>230</v>
      </c>
      <c r="F558" s="135" t="s">
        <v>198</v>
      </c>
      <c r="G558" s="29" t="s">
        <v>865</v>
      </c>
      <c r="H558" s="15">
        <v>0</v>
      </c>
      <c r="I558" s="15">
        <v>0</v>
      </c>
      <c r="J558" s="15">
        <v>100</v>
      </c>
      <c r="L558" s="27"/>
      <c r="N558" s="14"/>
      <c r="O558" s="14"/>
    </row>
    <row r="559" spans="1:16" ht="15" customHeight="1" x14ac:dyDescent="0.25">
      <c r="A559" s="199">
        <v>45128</v>
      </c>
      <c r="B559" s="13" t="s">
        <v>322</v>
      </c>
      <c r="C559" s="111">
        <v>0.14099999999999999</v>
      </c>
      <c r="D559" s="15">
        <v>70</v>
      </c>
      <c r="E559" s="135" t="s">
        <v>230</v>
      </c>
      <c r="F559" s="135" t="s">
        <v>216</v>
      </c>
      <c r="G559" s="106" t="s">
        <v>866</v>
      </c>
      <c r="H559" s="15">
        <v>70</v>
      </c>
      <c r="I559" s="15">
        <v>0</v>
      </c>
      <c r="J559" s="15">
        <v>30</v>
      </c>
      <c r="L559" s="27"/>
      <c r="M559" s="14">
        <v>1665.4069999999999</v>
      </c>
      <c r="N559" s="14">
        <f>M559/60</f>
        <v>27.756783333333331</v>
      </c>
      <c r="O559" s="14">
        <f t="shared" ref="O559" si="187">N559/60</f>
        <v>0.46261305555555554</v>
      </c>
    </row>
    <row r="560" spans="1:16" ht="15" customHeight="1" x14ac:dyDescent="0.25">
      <c r="A560" s="199">
        <v>45129</v>
      </c>
      <c r="B560" s="13" t="s">
        <v>847</v>
      </c>
      <c r="C560" s="111">
        <v>0.214</v>
      </c>
      <c r="D560" s="15">
        <v>80</v>
      </c>
      <c r="E560" s="135" t="s">
        <v>230</v>
      </c>
      <c r="F560" s="135" t="s">
        <v>198</v>
      </c>
      <c r="G560" s="106" t="s">
        <v>867</v>
      </c>
      <c r="H560" s="15">
        <v>80</v>
      </c>
      <c r="I560" s="15">
        <v>0</v>
      </c>
      <c r="J560" s="15">
        <v>20</v>
      </c>
      <c r="L560" s="27"/>
      <c r="M560" s="14">
        <v>2464.5880000000002</v>
      </c>
      <c r="N560" s="14">
        <f>M560/60</f>
        <v>41.076466666666668</v>
      </c>
      <c r="O560" s="14">
        <f t="shared" ref="O560" si="188">N560/60</f>
        <v>0.68460777777777782</v>
      </c>
    </row>
    <row r="561" spans="1:16" ht="15" customHeight="1" x14ac:dyDescent="0.25">
      <c r="A561" s="199">
        <v>45130</v>
      </c>
      <c r="B561" s="13" t="s">
        <v>155</v>
      </c>
      <c r="C561" s="111">
        <v>0.29899999999999999</v>
      </c>
      <c r="D561" s="15">
        <v>0</v>
      </c>
      <c r="E561" s="135" t="s">
        <v>230</v>
      </c>
      <c r="F561" s="135" t="s">
        <v>199</v>
      </c>
      <c r="G561" s="29" t="s">
        <v>868</v>
      </c>
      <c r="H561" s="15">
        <v>0</v>
      </c>
      <c r="I561" s="15">
        <v>100</v>
      </c>
      <c r="J561" s="15">
        <v>0</v>
      </c>
      <c r="L561" s="27"/>
      <c r="N561" s="14"/>
      <c r="O561" s="14"/>
    </row>
    <row r="562" spans="1:16" ht="15" customHeight="1" x14ac:dyDescent="0.25">
      <c r="A562" s="199">
        <v>45131</v>
      </c>
      <c r="B562" s="13" t="s">
        <v>395</v>
      </c>
      <c r="C562" s="111">
        <v>0.39300000000000002</v>
      </c>
      <c r="D562" s="15">
        <v>66</v>
      </c>
      <c r="E562" s="135" t="s">
        <v>230</v>
      </c>
      <c r="F562" s="135" t="s">
        <v>199</v>
      </c>
      <c r="G562" s="106" t="s">
        <v>869</v>
      </c>
      <c r="H562" s="15">
        <v>66</v>
      </c>
      <c r="I562" s="15">
        <v>0</v>
      </c>
      <c r="J562" s="15">
        <v>34</v>
      </c>
      <c r="L562" s="27"/>
      <c r="M562" s="14">
        <v>3299.3960000000002</v>
      </c>
      <c r="N562" s="14">
        <f t="shared" ref="N562" si="189">M562/60</f>
        <v>54.989933333333333</v>
      </c>
      <c r="O562" s="14">
        <f t="shared" ref="O562" si="190">N562/60</f>
        <v>0.91649888888888886</v>
      </c>
      <c r="P562" s="14">
        <f>SUM(O555:O562)</f>
        <v>2.0637197222222223</v>
      </c>
    </row>
    <row r="563" spans="1:16" ht="15" customHeight="1" x14ac:dyDescent="0.25">
      <c r="A563" s="196">
        <v>45147</v>
      </c>
      <c r="B563" s="169" t="s">
        <v>872</v>
      </c>
      <c r="C563" s="153">
        <v>0.441</v>
      </c>
      <c r="D563" s="15">
        <v>8</v>
      </c>
      <c r="E563" s="135" t="s">
        <v>230</v>
      </c>
      <c r="F563" s="135" t="s">
        <v>199</v>
      </c>
      <c r="G563" s="29" t="s">
        <v>871</v>
      </c>
      <c r="H563" s="15">
        <v>8</v>
      </c>
      <c r="I563" s="15">
        <v>92</v>
      </c>
      <c r="J563" s="15">
        <v>0</v>
      </c>
      <c r="L563" s="27"/>
      <c r="M563" s="14">
        <v>800.99800000000005</v>
      </c>
      <c r="N563" s="14">
        <f t="shared" ref="N563:N567" si="191">M563/60</f>
        <v>13.349966666666667</v>
      </c>
      <c r="O563" s="14">
        <f t="shared" ref="O563:O567" si="192">N563/60</f>
        <v>0.22249944444444444</v>
      </c>
    </row>
    <row r="564" spans="1:16" ht="15" customHeight="1" x14ac:dyDescent="0.25">
      <c r="A564" s="196">
        <v>45148</v>
      </c>
      <c r="B564" s="169" t="s">
        <v>873</v>
      </c>
      <c r="C564" s="153">
        <v>0.33900000000000002</v>
      </c>
      <c r="D564" s="15">
        <v>85</v>
      </c>
      <c r="E564" s="135" t="s">
        <v>647</v>
      </c>
      <c r="F564" s="135" t="s">
        <v>216</v>
      </c>
      <c r="G564" s="29" t="s">
        <v>877</v>
      </c>
      <c r="H564" s="15">
        <v>85</v>
      </c>
      <c r="I564" s="15">
        <v>15</v>
      </c>
      <c r="J564" s="15">
        <v>0</v>
      </c>
      <c r="L564" s="27"/>
      <c r="M564" s="14">
        <v>7219.3549999999996</v>
      </c>
      <c r="N564" s="14">
        <f t="shared" si="191"/>
        <v>120.32258333333333</v>
      </c>
      <c r="O564" s="14">
        <f t="shared" si="192"/>
        <v>2.0053763888888887</v>
      </c>
    </row>
    <row r="565" spans="1:16" ht="15" customHeight="1" x14ac:dyDescent="0.25">
      <c r="A565" s="196">
        <v>45149</v>
      </c>
      <c r="B565" s="169" t="s">
        <v>874</v>
      </c>
      <c r="C565" s="153">
        <v>0.245</v>
      </c>
      <c r="D565" s="15">
        <v>100</v>
      </c>
      <c r="E565" s="135" t="s">
        <v>486</v>
      </c>
      <c r="F565" s="135" t="s">
        <v>216</v>
      </c>
      <c r="H565" s="15">
        <v>100</v>
      </c>
      <c r="I565" s="15">
        <v>0</v>
      </c>
      <c r="J565" s="15">
        <v>0</v>
      </c>
      <c r="L565" s="27"/>
      <c r="M565" s="14">
        <v>5804.4409999999998</v>
      </c>
      <c r="N565" s="14">
        <f t="shared" si="191"/>
        <v>96.740683333333337</v>
      </c>
      <c r="O565" s="14">
        <f t="shared" si="192"/>
        <v>1.6123447222222222</v>
      </c>
    </row>
    <row r="566" spans="1:16" ht="15" customHeight="1" x14ac:dyDescent="0.25">
      <c r="A566" s="196">
        <v>45150</v>
      </c>
      <c r="B566" s="169" t="s">
        <v>875</v>
      </c>
      <c r="C566" s="153">
        <v>0.16400000000000001</v>
      </c>
      <c r="D566" s="15">
        <v>100</v>
      </c>
      <c r="E566" s="135" t="s">
        <v>230</v>
      </c>
      <c r="F566" s="135" t="s">
        <v>216</v>
      </c>
      <c r="H566" s="15">
        <v>100</v>
      </c>
      <c r="I566" s="15">
        <v>0</v>
      </c>
      <c r="J566" s="15">
        <v>0</v>
      </c>
      <c r="L566" s="27"/>
      <c r="M566" s="14">
        <v>3565.759</v>
      </c>
      <c r="N566" s="14">
        <f t="shared" si="191"/>
        <v>59.429316666666665</v>
      </c>
      <c r="O566" s="14">
        <f t="shared" si="192"/>
        <v>0.99048861111111108</v>
      </c>
    </row>
    <row r="567" spans="1:16" ht="15" customHeight="1" x14ac:dyDescent="0.25">
      <c r="A567" s="196">
        <v>45151</v>
      </c>
      <c r="B567" s="169" t="s">
        <v>876</v>
      </c>
      <c r="C567" s="153">
        <v>9.6000000000000002E-2</v>
      </c>
      <c r="D567" s="15">
        <v>100</v>
      </c>
      <c r="E567" s="204" t="s">
        <v>652</v>
      </c>
      <c r="F567" s="135" t="s">
        <v>216</v>
      </c>
      <c r="G567" s="27"/>
      <c r="H567" s="15">
        <v>100</v>
      </c>
      <c r="I567" s="15">
        <v>0</v>
      </c>
      <c r="J567" s="15">
        <v>0</v>
      </c>
      <c r="L567" s="27"/>
      <c r="M567" s="14">
        <v>1952.539</v>
      </c>
      <c r="N567" s="14">
        <f t="shared" si="191"/>
        <v>32.542316666666665</v>
      </c>
      <c r="O567" s="14">
        <f t="shared" si="192"/>
        <v>0.54237194444444436</v>
      </c>
      <c r="P567" s="14">
        <f>SUM(O563:O567)</f>
        <v>5.3730811111111114</v>
      </c>
    </row>
    <row r="568" spans="1:16" ht="15" customHeight="1" x14ac:dyDescent="0.25">
      <c r="A568" s="199">
        <v>45158</v>
      </c>
      <c r="B568" s="13" t="s">
        <v>848</v>
      </c>
      <c r="C568" s="111">
        <v>0.16500000000000001</v>
      </c>
      <c r="L568" s="27"/>
      <c r="N568" s="14"/>
      <c r="O568" s="14"/>
    </row>
    <row r="569" spans="1:16" ht="15" customHeight="1" x14ac:dyDescent="0.25">
      <c r="A569" s="199">
        <v>45159</v>
      </c>
      <c r="B569" s="13" t="s">
        <v>409</v>
      </c>
      <c r="C569" s="111">
        <v>0.245</v>
      </c>
      <c r="L569" s="27"/>
      <c r="N569" s="14"/>
      <c r="O569" s="14"/>
    </row>
    <row r="570" spans="1:16" ht="15" customHeight="1" x14ac:dyDescent="0.25">
      <c r="A570" s="199">
        <v>45160</v>
      </c>
      <c r="B570" s="13" t="s">
        <v>140</v>
      </c>
      <c r="C570" s="111">
        <v>0.33700000000000002</v>
      </c>
      <c r="L570" s="27"/>
      <c r="N570" s="14"/>
      <c r="O570" s="14"/>
    </row>
    <row r="571" spans="1:16" ht="15" customHeight="1" x14ac:dyDescent="0.25">
      <c r="A571" s="199">
        <v>45161</v>
      </c>
      <c r="B571" s="13" t="s">
        <v>849</v>
      </c>
      <c r="C571" s="111">
        <v>0.438</v>
      </c>
      <c r="L571" s="27"/>
      <c r="N571" s="14"/>
      <c r="O571" s="14"/>
    </row>
    <row r="572" spans="1:16" ht="15" customHeight="1" x14ac:dyDescent="0.25">
      <c r="L572" s="27"/>
      <c r="N572" s="14"/>
      <c r="O572" s="14"/>
    </row>
    <row r="573" spans="1:16" ht="15" customHeight="1" x14ac:dyDescent="0.25">
      <c r="L573" s="27"/>
      <c r="N573" s="14"/>
      <c r="O573" s="14"/>
    </row>
    <row r="575" spans="1:16" ht="15" customHeight="1" x14ac:dyDescent="0.25">
      <c r="N575" s="14"/>
    </row>
    <row r="576" spans="1:16" ht="15" customHeight="1" x14ac:dyDescent="0.25">
      <c r="L576" s="156">
        <f>277.99+P567</f>
        <v>283.36308111111111</v>
      </c>
      <c r="N576" s="14"/>
    </row>
    <row r="577" spans="11:14" ht="15" customHeight="1" x14ac:dyDescent="0.25">
      <c r="L577" s="27"/>
      <c r="N577" s="14"/>
    </row>
    <row r="578" spans="11:14" ht="15" customHeight="1" x14ac:dyDescent="0.25">
      <c r="N578" s="14"/>
    </row>
    <row r="587" spans="11:14" ht="15" customHeight="1" x14ac:dyDescent="0.25">
      <c r="K587" s="124">
        <f>0.37*60</f>
        <v>22.2</v>
      </c>
    </row>
  </sheetData>
  <mergeCells count="14">
    <mergeCell ref="A4:G4"/>
    <mergeCell ref="A1:A2"/>
    <mergeCell ref="E1:E2"/>
    <mergeCell ref="F1:F2"/>
    <mergeCell ref="G1:G2"/>
    <mergeCell ref="A3:G3"/>
    <mergeCell ref="A516:G516"/>
    <mergeCell ref="A427:G427"/>
    <mergeCell ref="A360:G360"/>
    <mergeCell ref="A281:G281"/>
    <mergeCell ref="A23:G23"/>
    <mergeCell ref="A47:G47"/>
    <mergeCell ref="A112:G112"/>
    <mergeCell ref="A194:G194"/>
  </mergeCells>
  <phoneticPr fontId="10" type="noConversion"/>
  <pageMargins left="0.7" right="0.7" top="0.75" bottom="0.75" header="0.3" footer="0.3"/>
  <pageSetup paperSize="9" orientation="portrait" horizontalDpi="1200" verticalDpi="1200" r:id="rId1"/>
  <ignoredErrors>
    <ignoredError sqref="E93 E298:E299 E300:E307 E309:E315 E318 E321:E323 E326 E331:E334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R544"/>
  <sheetViews>
    <sheetView zoomScale="70" zoomScaleNormal="70" workbookViewId="0">
      <pane ySplit="2" topLeftCell="A493" activePane="bottomLeft" state="frozen"/>
      <selection pane="bottomLeft" activeCell="W543" sqref="W543"/>
    </sheetView>
  </sheetViews>
  <sheetFormatPr defaultRowHeight="15.75" x14ac:dyDescent="0.25"/>
  <cols>
    <col min="1" max="1" width="37.5703125" style="22" customWidth="1"/>
    <col min="2" max="2" width="18.85546875" style="22" customWidth="1"/>
    <col min="3" max="3" width="9.140625" style="22"/>
    <col min="4" max="4" width="28.42578125" style="54" customWidth="1"/>
    <col min="5" max="5" width="18" style="22" customWidth="1"/>
    <col min="6" max="6" width="15.7109375" style="22" customWidth="1"/>
    <col min="7" max="7" width="17.28515625" style="22" bestFit="1" customWidth="1"/>
    <col min="8" max="10" width="9.140625" style="22"/>
    <col min="11" max="11" width="10.85546875" style="22" customWidth="1"/>
    <col min="12" max="12" width="14.7109375" style="22" customWidth="1"/>
    <col min="13" max="13" width="3.140625" style="22" customWidth="1"/>
    <col min="14" max="14" width="10.5703125" style="30" customWidth="1"/>
    <col min="15" max="15" width="9.7109375" style="30" customWidth="1"/>
    <col min="16" max="16" width="8.28515625" style="31" customWidth="1"/>
    <col min="17" max="17" width="13.7109375" style="31" customWidth="1"/>
    <col min="18" max="18" width="12.28515625" style="31" customWidth="1"/>
    <col min="19" max="19" width="17.5703125" style="22" customWidth="1"/>
    <col min="20" max="20" width="10.28515625" style="22" customWidth="1"/>
    <col min="21" max="21" width="11.7109375" style="22" customWidth="1"/>
    <col min="22" max="22" width="16.42578125" style="22" customWidth="1"/>
    <col min="23" max="23" width="11" style="22" customWidth="1"/>
    <col min="24" max="24" width="14.28515625" style="22" customWidth="1"/>
    <col min="25" max="25" width="17.28515625" style="22" customWidth="1"/>
    <col min="26" max="26" width="12.140625" style="22" customWidth="1"/>
    <col min="27" max="27" width="13.85546875" style="22" customWidth="1"/>
    <col min="28" max="28" width="23.85546875" style="22" bestFit="1" customWidth="1"/>
    <col min="29" max="16384" width="9.140625" style="22"/>
  </cols>
  <sheetData>
    <row r="1" spans="1:27" x14ac:dyDescent="0.25">
      <c r="G1" s="22" t="s">
        <v>437</v>
      </c>
      <c r="H1" s="22" t="s">
        <v>53</v>
      </c>
      <c r="I1" s="22" t="s">
        <v>438</v>
      </c>
      <c r="K1" s="31"/>
      <c r="L1" s="32" t="s">
        <v>439</v>
      </c>
      <c r="N1" s="209" t="s">
        <v>440</v>
      </c>
      <c r="O1" s="209"/>
      <c r="P1" s="209"/>
      <c r="Q1" s="9" t="s">
        <v>441</v>
      </c>
      <c r="R1" s="33" t="s">
        <v>441</v>
      </c>
      <c r="S1" s="22" t="s">
        <v>442</v>
      </c>
      <c r="T1" s="22" t="s">
        <v>443</v>
      </c>
      <c r="U1" s="22" t="s">
        <v>444</v>
      </c>
      <c r="V1" s="10" t="s">
        <v>445</v>
      </c>
      <c r="W1" s="22" t="s">
        <v>446</v>
      </c>
      <c r="X1" s="10" t="s">
        <v>447</v>
      </c>
      <c r="Y1" s="10" t="s">
        <v>448</v>
      </c>
      <c r="Z1" s="10" t="s">
        <v>449</v>
      </c>
      <c r="AA1" s="10" t="s">
        <v>450</v>
      </c>
    </row>
    <row r="2" spans="1:27" x14ac:dyDescent="0.25">
      <c r="K2" s="9" t="s">
        <v>451</v>
      </c>
      <c r="L2" s="9" t="s">
        <v>452</v>
      </c>
      <c r="N2" s="113" t="s">
        <v>452</v>
      </c>
      <c r="O2" s="113" t="s">
        <v>256</v>
      </c>
      <c r="P2" s="31" t="s">
        <v>452</v>
      </c>
    </row>
    <row r="3" spans="1:27" ht="20.100000000000001" customHeight="1" x14ac:dyDescent="0.25">
      <c r="A3" s="34">
        <v>42767</v>
      </c>
      <c r="B3" s="35" t="s">
        <v>32</v>
      </c>
      <c r="C3" s="36">
        <v>0.23400000000000001</v>
      </c>
      <c r="D3" s="37">
        <v>1</v>
      </c>
      <c r="E3" s="37" t="s">
        <v>46</v>
      </c>
      <c r="F3" s="35"/>
      <c r="G3" s="11">
        <v>100</v>
      </c>
      <c r="H3" s="11">
        <v>0</v>
      </c>
      <c r="I3" s="11">
        <v>0</v>
      </c>
      <c r="K3" s="31">
        <v>3717</v>
      </c>
      <c r="L3" s="9">
        <f>K3/3600</f>
        <v>1.0325</v>
      </c>
      <c r="N3" s="11">
        <v>2</v>
      </c>
      <c r="O3" s="11">
        <v>15</v>
      </c>
      <c r="P3" s="9">
        <f>N3+O3/60</f>
        <v>2.25</v>
      </c>
      <c r="Q3" s="9">
        <f>P3*62.4%</f>
        <v>1.4039999999999999</v>
      </c>
      <c r="R3" s="9">
        <f>IF(G3=100,L3,Q3)</f>
        <v>1.0325</v>
      </c>
      <c r="S3" s="21">
        <v>100</v>
      </c>
      <c r="T3" s="9">
        <v>1.0325</v>
      </c>
      <c r="U3" s="9">
        <v>1.0325</v>
      </c>
      <c r="V3" s="9">
        <f t="shared" ref="V3:V66" si="0">T3*H3%</f>
        <v>0</v>
      </c>
      <c r="W3" s="9">
        <f>T3*I3%</f>
        <v>0</v>
      </c>
      <c r="X3" s="9"/>
      <c r="Y3" s="9"/>
      <c r="Z3" s="9"/>
      <c r="AA3" s="21"/>
    </row>
    <row r="4" spans="1:27" ht="20.100000000000001" customHeight="1" x14ac:dyDescent="0.25">
      <c r="A4" s="34">
        <v>42768</v>
      </c>
      <c r="B4" s="35" t="s">
        <v>33</v>
      </c>
      <c r="C4" s="36">
        <v>0.33500000000000002</v>
      </c>
      <c r="D4" s="38"/>
      <c r="E4" s="37" t="s">
        <v>13</v>
      </c>
      <c r="F4" s="35"/>
      <c r="G4" s="11">
        <v>0</v>
      </c>
      <c r="H4" s="11">
        <v>100</v>
      </c>
      <c r="I4" s="11">
        <v>0</v>
      </c>
      <c r="K4" s="31"/>
      <c r="L4" s="9">
        <f t="shared" ref="L4:L67" si="1">K4/3600</f>
        <v>0</v>
      </c>
      <c r="N4" s="11">
        <v>3</v>
      </c>
      <c r="O4" s="11">
        <v>20</v>
      </c>
      <c r="P4" s="9">
        <f t="shared" ref="P4:P67" si="2">N4+O4/60</f>
        <v>3.3333333333333335</v>
      </c>
      <c r="Q4" s="9">
        <f>P4*62.4%</f>
        <v>2.08</v>
      </c>
      <c r="R4" s="9">
        <f t="shared" ref="R4:R67" si="3">IF(G4=100,L4,Q4)</f>
        <v>2.08</v>
      </c>
      <c r="S4" s="21">
        <f>100*L4/Q4</f>
        <v>0</v>
      </c>
      <c r="T4" s="9">
        <v>2.08</v>
      </c>
      <c r="U4" s="9">
        <v>0</v>
      </c>
      <c r="V4" s="9">
        <f t="shared" si="0"/>
        <v>2.08</v>
      </c>
      <c r="W4" s="9">
        <f t="shared" ref="W4:W67" si="4">T4*I4%</f>
        <v>0</v>
      </c>
      <c r="X4" s="9"/>
      <c r="Y4" s="9"/>
      <c r="Z4" s="9"/>
      <c r="AA4" s="21"/>
    </row>
    <row r="5" spans="1:27" ht="20.100000000000001" customHeight="1" x14ac:dyDescent="0.25">
      <c r="A5" s="34">
        <v>42769</v>
      </c>
      <c r="B5" s="35" t="s">
        <v>34</v>
      </c>
      <c r="C5" s="36">
        <v>0.44600000000000001</v>
      </c>
      <c r="D5" s="38"/>
      <c r="E5" s="37" t="s">
        <v>13</v>
      </c>
      <c r="F5" s="35"/>
      <c r="G5" s="11">
        <v>0</v>
      </c>
      <c r="H5" s="11">
        <v>100</v>
      </c>
      <c r="I5" s="11">
        <v>0</v>
      </c>
      <c r="K5" s="31"/>
      <c r="L5" s="9">
        <f t="shared" si="1"/>
        <v>0</v>
      </c>
      <c r="N5" s="11">
        <v>4</v>
      </c>
      <c r="O5" s="11">
        <v>25</v>
      </c>
      <c r="P5" s="9">
        <f t="shared" si="2"/>
        <v>4.416666666666667</v>
      </c>
      <c r="Q5" s="9">
        <f t="shared" ref="Q5:Q68" si="5">P5*62.4%</f>
        <v>2.7560000000000002</v>
      </c>
      <c r="R5" s="9">
        <f t="shared" si="3"/>
        <v>2.7560000000000002</v>
      </c>
      <c r="S5" s="21">
        <f>100*L5/Q5</f>
        <v>0</v>
      </c>
      <c r="T5" s="9">
        <v>2.7560000000000002</v>
      </c>
      <c r="U5" s="9">
        <v>0</v>
      </c>
      <c r="V5" s="9">
        <f t="shared" si="0"/>
        <v>2.7560000000000002</v>
      </c>
      <c r="W5" s="9">
        <f t="shared" si="4"/>
        <v>0</v>
      </c>
      <c r="X5" s="9"/>
      <c r="Y5" s="9"/>
      <c r="Z5" s="9"/>
      <c r="AA5" s="21"/>
    </row>
    <row r="6" spans="1:27" ht="20.100000000000001" customHeight="1" x14ac:dyDescent="0.25">
      <c r="A6" s="39">
        <v>42785</v>
      </c>
      <c r="B6" s="40" t="s">
        <v>37</v>
      </c>
      <c r="C6" s="41">
        <v>0.47799999999999998</v>
      </c>
      <c r="D6" s="38"/>
      <c r="E6" s="37" t="s">
        <v>13</v>
      </c>
      <c r="F6" s="35"/>
      <c r="G6" s="11">
        <v>8</v>
      </c>
      <c r="H6" s="11">
        <v>92</v>
      </c>
      <c r="I6" s="11">
        <v>0</v>
      </c>
      <c r="K6" s="31">
        <v>574</v>
      </c>
      <c r="L6" s="9">
        <f t="shared" si="1"/>
        <v>0.15944444444444444</v>
      </c>
      <c r="N6" s="11">
        <v>3</v>
      </c>
      <c r="O6" s="11">
        <v>0</v>
      </c>
      <c r="P6" s="9">
        <f t="shared" si="2"/>
        <v>3</v>
      </c>
      <c r="Q6" s="9">
        <f t="shared" si="5"/>
        <v>1.8719999999999999</v>
      </c>
      <c r="R6" s="9">
        <f t="shared" si="3"/>
        <v>1.8719999999999999</v>
      </c>
      <c r="S6" s="21">
        <f>100*L6/Q6</f>
        <v>8.5173314339981019</v>
      </c>
      <c r="T6" s="9">
        <v>1.8719999999999999</v>
      </c>
      <c r="U6" s="9">
        <v>0.15944444444444444</v>
      </c>
      <c r="V6" s="9">
        <f t="shared" si="0"/>
        <v>1.72224</v>
      </c>
      <c r="W6" s="9">
        <f t="shared" si="4"/>
        <v>0</v>
      </c>
      <c r="X6" s="9"/>
      <c r="Y6" s="9"/>
      <c r="Z6" s="9"/>
      <c r="AA6" s="21"/>
    </row>
    <row r="7" spans="1:27" ht="20.100000000000001" customHeight="1" x14ac:dyDescent="0.25">
      <c r="A7" s="39">
        <v>42786</v>
      </c>
      <c r="B7" s="40" t="s">
        <v>38</v>
      </c>
      <c r="C7" s="41">
        <v>0.377</v>
      </c>
      <c r="D7" s="42">
        <v>0</v>
      </c>
      <c r="E7" s="42" t="s">
        <v>50</v>
      </c>
      <c r="F7" s="40" t="s">
        <v>51</v>
      </c>
      <c r="G7" s="11">
        <v>80</v>
      </c>
      <c r="H7" s="11">
        <v>20</v>
      </c>
      <c r="I7" s="11">
        <v>0</v>
      </c>
      <c r="K7" s="31">
        <v>3462</v>
      </c>
      <c r="L7" s="9">
        <f t="shared" si="1"/>
        <v>0.96166666666666667</v>
      </c>
      <c r="N7" s="11">
        <v>2</v>
      </c>
      <c r="O7" s="11">
        <v>5</v>
      </c>
      <c r="P7" s="9">
        <f t="shared" si="2"/>
        <v>2.0833333333333335</v>
      </c>
      <c r="Q7" s="9">
        <f t="shared" si="5"/>
        <v>1.3</v>
      </c>
      <c r="R7" s="9">
        <f t="shared" si="3"/>
        <v>1.3</v>
      </c>
      <c r="S7" s="21">
        <f>100*L7/Q7</f>
        <v>73.974358974358978</v>
      </c>
      <c r="T7" s="9">
        <v>1.3</v>
      </c>
      <c r="U7" s="9">
        <v>0.96166666666666667</v>
      </c>
      <c r="V7" s="9">
        <f t="shared" si="0"/>
        <v>0.26</v>
      </c>
      <c r="W7" s="9">
        <f t="shared" si="4"/>
        <v>0</v>
      </c>
      <c r="X7" s="9"/>
      <c r="Y7" s="9"/>
      <c r="Z7" s="9"/>
      <c r="AA7" s="21"/>
    </row>
    <row r="8" spans="1:27" ht="20.100000000000001" customHeight="1" x14ac:dyDescent="0.25">
      <c r="A8" s="39">
        <v>42787</v>
      </c>
      <c r="B8" s="40" t="s">
        <v>39</v>
      </c>
      <c r="C8" s="41">
        <v>0.28699999999999998</v>
      </c>
      <c r="D8" s="42">
        <v>0</v>
      </c>
      <c r="E8" s="42" t="s">
        <v>19</v>
      </c>
      <c r="F8" s="40"/>
      <c r="G8" s="11">
        <v>100</v>
      </c>
      <c r="H8" s="11">
        <v>0</v>
      </c>
      <c r="I8" s="11">
        <v>0</v>
      </c>
      <c r="K8" s="31">
        <v>2828</v>
      </c>
      <c r="L8" s="9">
        <f t="shared" si="1"/>
        <v>0.78555555555555556</v>
      </c>
      <c r="M8" s="9">
        <f>SUM(L3:L8)</f>
        <v>2.9391666666666669</v>
      </c>
      <c r="N8" s="11">
        <v>1</v>
      </c>
      <c r="O8" s="11">
        <v>10</v>
      </c>
      <c r="P8" s="9">
        <f t="shared" si="2"/>
        <v>1.1666666666666667</v>
      </c>
      <c r="Q8" s="9">
        <f t="shared" si="5"/>
        <v>0.72800000000000009</v>
      </c>
      <c r="R8" s="9">
        <f t="shared" si="3"/>
        <v>0.78555555555555556</v>
      </c>
      <c r="S8" s="21">
        <v>100</v>
      </c>
      <c r="T8" s="9">
        <v>0.78555555555555556</v>
      </c>
      <c r="U8" s="9">
        <v>0.78555555555555556</v>
      </c>
      <c r="V8" s="9">
        <f t="shared" si="0"/>
        <v>0</v>
      </c>
      <c r="W8" s="9">
        <f t="shared" si="4"/>
        <v>0</v>
      </c>
      <c r="X8" s="9">
        <f>SUM(U3:U8)</f>
        <v>2.9391666666666669</v>
      </c>
      <c r="Y8" s="9">
        <f>100*X8/SUM(T3:T8)</f>
        <v>29.911968745229522</v>
      </c>
      <c r="Z8" s="9">
        <f>100*SUM(V3:V8)/SUM(T3:T8)</f>
        <v>69.389389887430823</v>
      </c>
      <c r="AA8" s="9">
        <f>100*SUM(W3:W8)/SUM(T3:T8)</f>
        <v>0</v>
      </c>
    </row>
    <row r="9" spans="1:27" ht="20.100000000000001" customHeight="1" x14ac:dyDescent="0.25">
      <c r="A9" s="43">
        <v>42795</v>
      </c>
      <c r="B9" s="44" t="s">
        <v>57</v>
      </c>
      <c r="C9" s="45">
        <v>0.11799999999999999</v>
      </c>
      <c r="D9" s="46">
        <v>2</v>
      </c>
      <c r="E9" s="46" t="s">
        <v>199</v>
      </c>
      <c r="F9" s="44" t="s">
        <v>200</v>
      </c>
      <c r="G9" s="47">
        <v>90</v>
      </c>
      <c r="H9" s="47">
        <v>10</v>
      </c>
      <c r="I9" s="47">
        <v>0</v>
      </c>
      <c r="J9" s="48"/>
      <c r="K9" s="49">
        <v>1627</v>
      </c>
      <c r="L9" s="33">
        <f t="shared" si="1"/>
        <v>0.45194444444444443</v>
      </c>
      <c r="M9" s="48"/>
      <c r="N9" s="47">
        <v>0</v>
      </c>
      <c r="O9" s="47">
        <v>55</v>
      </c>
      <c r="P9" s="33">
        <f t="shared" si="2"/>
        <v>0.91666666666666663</v>
      </c>
      <c r="Q9" s="33">
        <f t="shared" si="5"/>
        <v>0.57199999999999995</v>
      </c>
      <c r="R9" s="33">
        <f t="shared" si="3"/>
        <v>0.57199999999999995</v>
      </c>
      <c r="S9" s="50">
        <v>90</v>
      </c>
      <c r="T9" s="33">
        <v>0.57199999999999995</v>
      </c>
      <c r="U9" s="33">
        <v>0.45194444444444443</v>
      </c>
      <c r="V9" s="33">
        <f t="shared" si="0"/>
        <v>5.7200000000000001E-2</v>
      </c>
      <c r="W9" s="33">
        <f t="shared" si="4"/>
        <v>0</v>
      </c>
      <c r="X9" s="33"/>
      <c r="Y9" s="33"/>
      <c r="Z9" s="33"/>
      <c r="AA9" s="50"/>
    </row>
    <row r="10" spans="1:27" ht="20.100000000000001" customHeight="1" x14ac:dyDescent="0.25">
      <c r="A10" s="34">
        <v>42796</v>
      </c>
      <c r="B10" s="35" t="s">
        <v>58</v>
      </c>
      <c r="C10" s="36">
        <v>0.20200000000000001</v>
      </c>
      <c r="D10" s="37">
        <v>0</v>
      </c>
      <c r="E10" s="37" t="s">
        <v>201</v>
      </c>
      <c r="F10" s="35"/>
      <c r="G10" s="11">
        <v>100</v>
      </c>
      <c r="H10" s="11">
        <v>0</v>
      </c>
      <c r="I10" s="11">
        <v>0</v>
      </c>
      <c r="K10" s="31">
        <v>4441</v>
      </c>
      <c r="L10" s="9">
        <f t="shared" si="1"/>
        <v>1.2336111111111112</v>
      </c>
      <c r="N10" s="11">
        <v>2</v>
      </c>
      <c r="O10" s="11">
        <v>0</v>
      </c>
      <c r="P10" s="9">
        <f t="shared" si="2"/>
        <v>2</v>
      </c>
      <c r="Q10" s="9">
        <f t="shared" si="5"/>
        <v>1.248</v>
      </c>
      <c r="R10" s="9">
        <f t="shared" si="3"/>
        <v>1.2336111111111112</v>
      </c>
      <c r="S10" s="21">
        <f t="shared" ref="S10:S21" si="6">100*L10/Q10</f>
        <v>98.847044159544168</v>
      </c>
      <c r="T10" s="9">
        <v>1.2336111111111112</v>
      </c>
      <c r="U10" s="9">
        <v>1.2336111111111112</v>
      </c>
      <c r="V10" s="9">
        <f t="shared" si="0"/>
        <v>0</v>
      </c>
      <c r="W10" s="9">
        <f t="shared" si="4"/>
        <v>0</v>
      </c>
      <c r="X10" s="9"/>
      <c r="Y10" s="9"/>
      <c r="Z10" s="9"/>
      <c r="AA10" s="21"/>
    </row>
    <row r="11" spans="1:27" ht="20.100000000000001" customHeight="1" x14ac:dyDescent="0.25">
      <c r="A11" s="34">
        <v>42797</v>
      </c>
      <c r="B11" s="35" t="s">
        <v>59</v>
      </c>
      <c r="C11" s="36">
        <v>0.30199999999999999</v>
      </c>
      <c r="D11" s="37">
        <v>0</v>
      </c>
      <c r="E11" s="37" t="s">
        <v>201</v>
      </c>
      <c r="F11" s="35"/>
      <c r="G11" s="11">
        <v>100</v>
      </c>
      <c r="H11" s="11">
        <v>0</v>
      </c>
      <c r="I11" s="11">
        <v>0</v>
      </c>
      <c r="K11" s="31">
        <v>6653</v>
      </c>
      <c r="L11" s="9">
        <f t="shared" si="1"/>
        <v>1.8480555555555556</v>
      </c>
      <c r="N11" s="11">
        <v>3</v>
      </c>
      <c r="O11" s="11">
        <v>5</v>
      </c>
      <c r="P11" s="9">
        <f t="shared" si="2"/>
        <v>3.0833333333333335</v>
      </c>
      <c r="Q11" s="9">
        <f t="shared" si="5"/>
        <v>1.9240000000000002</v>
      </c>
      <c r="R11" s="9">
        <f t="shared" si="3"/>
        <v>1.8480555555555556</v>
      </c>
      <c r="S11" s="21">
        <f t="shared" si="6"/>
        <v>96.052783552783538</v>
      </c>
      <c r="T11" s="9">
        <v>1.8480555555555556</v>
      </c>
      <c r="U11" s="9">
        <v>1.8480555555555556</v>
      </c>
      <c r="V11" s="9">
        <f t="shared" si="0"/>
        <v>0</v>
      </c>
      <c r="W11" s="9">
        <f t="shared" si="4"/>
        <v>0</v>
      </c>
      <c r="X11" s="9"/>
      <c r="Y11" s="9"/>
      <c r="Z11" s="9"/>
      <c r="AA11" s="21"/>
    </row>
    <row r="12" spans="1:27" ht="20.100000000000001" customHeight="1" x14ac:dyDescent="0.25">
      <c r="A12" s="34">
        <v>42798</v>
      </c>
      <c r="B12" s="35" t="s">
        <v>60</v>
      </c>
      <c r="C12" s="36">
        <v>0.41199999999999998</v>
      </c>
      <c r="D12" s="51">
        <v>1</v>
      </c>
      <c r="E12" s="37" t="s">
        <v>201</v>
      </c>
      <c r="F12" s="35"/>
      <c r="G12" s="11">
        <v>100</v>
      </c>
      <c r="H12" s="11">
        <v>0</v>
      </c>
      <c r="I12" s="11">
        <v>0</v>
      </c>
      <c r="K12" s="31">
        <v>8922</v>
      </c>
      <c r="L12" s="9">
        <f t="shared" si="1"/>
        <v>2.4783333333333335</v>
      </c>
      <c r="N12" s="11">
        <v>4</v>
      </c>
      <c r="O12" s="11">
        <v>10</v>
      </c>
      <c r="P12" s="9">
        <f t="shared" si="2"/>
        <v>4.166666666666667</v>
      </c>
      <c r="Q12" s="9">
        <f t="shared" si="5"/>
        <v>2.6</v>
      </c>
      <c r="R12" s="9">
        <f t="shared" si="3"/>
        <v>2.4783333333333335</v>
      </c>
      <c r="S12" s="21">
        <f t="shared" si="6"/>
        <v>95.320512820512818</v>
      </c>
      <c r="T12" s="9">
        <v>2.4783333333333335</v>
      </c>
      <c r="U12" s="9">
        <v>2.4783333333333335</v>
      </c>
      <c r="V12" s="9">
        <f t="shared" si="0"/>
        <v>0</v>
      </c>
      <c r="W12" s="9">
        <f t="shared" si="4"/>
        <v>0</v>
      </c>
      <c r="X12" s="9"/>
      <c r="Y12" s="9"/>
      <c r="Z12" s="9"/>
      <c r="AA12" s="21"/>
    </row>
    <row r="13" spans="1:27" ht="20.100000000000001" customHeight="1" x14ac:dyDescent="0.25">
      <c r="A13" s="39">
        <v>42815</v>
      </c>
      <c r="B13" s="40" t="s">
        <v>61</v>
      </c>
      <c r="C13" s="41">
        <v>0.46200000000000002</v>
      </c>
      <c r="D13" s="42"/>
      <c r="E13" s="42" t="s">
        <v>203</v>
      </c>
      <c r="F13" s="52"/>
      <c r="G13" s="11">
        <v>0</v>
      </c>
      <c r="H13" s="11">
        <v>100</v>
      </c>
      <c r="I13" s="11">
        <v>0</v>
      </c>
      <c r="K13" s="31"/>
      <c r="L13" s="9">
        <f t="shared" si="1"/>
        <v>0</v>
      </c>
      <c r="N13" s="11">
        <v>1</v>
      </c>
      <c r="O13" s="11">
        <v>50</v>
      </c>
      <c r="P13" s="9">
        <f t="shared" si="2"/>
        <v>1.8333333333333335</v>
      </c>
      <c r="Q13" s="9">
        <f t="shared" si="5"/>
        <v>1.1440000000000001</v>
      </c>
      <c r="R13" s="9">
        <f t="shared" si="3"/>
        <v>1.1440000000000001</v>
      </c>
      <c r="S13" s="21">
        <f t="shared" si="6"/>
        <v>0</v>
      </c>
      <c r="T13" s="9">
        <v>1.1440000000000001</v>
      </c>
      <c r="U13" s="9">
        <v>0</v>
      </c>
      <c r="V13" s="9">
        <f t="shared" si="0"/>
        <v>1.1440000000000001</v>
      </c>
      <c r="W13" s="9">
        <f t="shared" si="4"/>
        <v>0</v>
      </c>
      <c r="X13" s="9"/>
      <c r="Y13" s="9"/>
      <c r="Z13" s="9"/>
      <c r="AA13" s="21"/>
    </row>
    <row r="14" spans="1:27" ht="20.100000000000001" customHeight="1" x14ac:dyDescent="0.25">
      <c r="A14" s="39">
        <v>42816</v>
      </c>
      <c r="B14" s="40" t="s">
        <v>62</v>
      </c>
      <c r="C14" s="41">
        <v>0.36099999999999999</v>
      </c>
      <c r="D14" s="42"/>
      <c r="E14" s="53" t="s">
        <v>13</v>
      </c>
      <c r="F14" s="39"/>
      <c r="G14" s="11">
        <v>0</v>
      </c>
      <c r="H14" s="11">
        <v>100</v>
      </c>
      <c r="I14" s="11">
        <v>0</v>
      </c>
      <c r="K14" s="31"/>
      <c r="L14" s="9">
        <f t="shared" si="1"/>
        <v>0</v>
      </c>
      <c r="N14" s="11">
        <v>0</v>
      </c>
      <c r="O14" s="11">
        <v>55</v>
      </c>
      <c r="P14" s="9">
        <f t="shared" si="2"/>
        <v>0.91666666666666663</v>
      </c>
      <c r="Q14" s="9">
        <f t="shared" si="5"/>
        <v>0.57199999999999995</v>
      </c>
      <c r="R14" s="9">
        <f t="shared" si="3"/>
        <v>0.57199999999999995</v>
      </c>
      <c r="S14" s="21">
        <f t="shared" si="6"/>
        <v>0</v>
      </c>
      <c r="T14" s="9">
        <v>0.57199999999999995</v>
      </c>
      <c r="U14" s="9">
        <v>0</v>
      </c>
      <c r="V14" s="9">
        <f t="shared" si="0"/>
        <v>0.57199999999999995</v>
      </c>
      <c r="W14" s="9">
        <f t="shared" si="4"/>
        <v>0</v>
      </c>
      <c r="X14" s="9"/>
      <c r="Y14" s="9"/>
      <c r="Z14" s="9"/>
      <c r="AA14" s="21"/>
    </row>
    <row r="15" spans="1:27" ht="20.100000000000001" customHeight="1" x14ac:dyDescent="0.25">
      <c r="A15" s="34">
        <v>42825</v>
      </c>
      <c r="B15" s="35" t="s">
        <v>63</v>
      </c>
      <c r="C15" s="36">
        <v>0.17399999999999999</v>
      </c>
      <c r="D15" s="37">
        <v>0</v>
      </c>
      <c r="E15" s="37" t="s">
        <v>204</v>
      </c>
      <c r="F15" s="34"/>
      <c r="G15" s="11">
        <v>50</v>
      </c>
      <c r="H15" s="11">
        <v>40</v>
      </c>
      <c r="I15" s="11">
        <v>10</v>
      </c>
      <c r="K15" s="31">
        <v>3114</v>
      </c>
      <c r="L15" s="9">
        <f t="shared" si="1"/>
        <v>0.86499999999999999</v>
      </c>
      <c r="N15" s="11">
        <v>1</v>
      </c>
      <c r="O15" s="11">
        <v>35</v>
      </c>
      <c r="P15" s="9">
        <f t="shared" si="2"/>
        <v>1.5833333333333335</v>
      </c>
      <c r="Q15" s="9">
        <f t="shared" si="5"/>
        <v>0.9880000000000001</v>
      </c>
      <c r="R15" s="9">
        <f t="shared" si="3"/>
        <v>0.9880000000000001</v>
      </c>
      <c r="S15" s="21">
        <f t="shared" si="6"/>
        <v>87.550607287449381</v>
      </c>
      <c r="T15" s="9">
        <v>0.9880000000000001</v>
      </c>
      <c r="U15" s="9">
        <v>0.86499999999999999</v>
      </c>
      <c r="V15" s="9">
        <f t="shared" si="0"/>
        <v>0.39520000000000005</v>
      </c>
      <c r="W15" s="9">
        <f t="shared" si="4"/>
        <v>9.8800000000000013E-2</v>
      </c>
      <c r="X15" s="9">
        <f>SUM(U9:U15)</f>
        <v>6.8769444444444447</v>
      </c>
      <c r="Y15" s="9">
        <f>100*X15/SUM(T9:T15)</f>
        <v>77.828705799507063</v>
      </c>
      <c r="Z15" s="9">
        <f>100*SUM(V9:V15)/SUM(T9:T15)</f>
        <v>24.540516070620189</v>
      </c>
      <c r="AA15" s="9">
        <f>100*SUM(W9:W15)/SUM(T9:T15)</f>
        <v>1.1181530104119513</v>
      </c>
    </row>
    <row r="16" spans="1:27" ht="20.100000000000001" customHeight="1" x14ac:dyDescent="0.25">
      <c r="A16" s="43">
        <v>42826</v>
      </c>
      <c r="B16" s="44" t="s">
        <v>64</v>
      </c>
      <c r="C16" s="45">
        <v>0.27100000000000002</v>
      </c>
      <c r="D16" s="46">
        <v>1</v>
      </c>
      <c r="E16" s="46" t="s">
        <v>201</v>
      </c>
      <c r="F16" s="43"/>
      <c r="G16" s="47">
        <v>100</v>
      </c>
      <c r="H16" s="47">
        <v>0</v>
      </c>
      <c r="I16" s="47">
        <v>0</v>
      </c>
      <c r="J16" s="48"/>
      <c r="K16" s="49">
        <v>5625</v>
      </c>
      <c r="L16" s="33">
        <f t="shared" si="1"/>
        <v>1.5625</v>
      </c>
      <c r="M16" s="48"/>
      <c r="N16" s="47">
        <v>2</v>
      </c>
      <c r="O16" s="47">
        <v>40</v>
      </c>
      <c r="P16" s="33">
        <f t="shared" si="2"/>
        <v>2.6666666666666665</v>
      </c>
      <c r="Q16" s="33">
        <f t="shared" si="5"/>
        <v>1.6639999999999999</v>
      </c>
      <c r="R16" s="33">
        <f t="shared" si="3"/>
        <v>1.5625</v>
      </c>
      <c r="S16" s="50">
        <f t="shared" si="6"/>
        <v>93.900240384615387</v>
      </c>
      <c r="T16" s="33">
        <v>1.5625</v>
      </c>
      <c r="U16" s="33">
        <v>1.5625</v>
      </c>
      <c r="V16" s="33">
        <f t="shared" si="0"/>
        <v>0</v>
      </c>
      <c r="W16" s="33">
        <f t="shared" si="4"/>
        <v>0</v>
      </c>
      <c r="X16" s="33"/>
      <c r="Y16" s="33"/>
      <c r="Z16" s="33"/>
      <c r="AA16" s="50"/>
    </row>
    <row r="17" spans="1:27" ht="20.100000000000001" customHeight="1" x14ac:dyDescent="0.25">
      <c r="A17" s="34">
        <v>42827</v>
      </c>
      <c r="B17" s="35" t="s">
        <v>65</v>
      </c>
      <c r="C17" s="36">
        <v>0.38</v>
      </c>
      <c r="D17" s="37">
        <v>0</v>
      </c>
      <c r="E17" s="37" t="s">
        <v>13</v>
      </c>
      <c r="F17" s="34"/>
      <c r="G17" s="11">
        <v>5</v>
      </c>
      <c r="H17" s="11">
        <v>95</v>
      </c>
      <c r="I17" s="11">
        <v>0</v>
      </c>
      <c r="K17" s="31">
        <v>535</v>
      </c>
      <c r="L17" s="9">
        <f t="shared" si="1"/>
        <v>0.14861111111111111</v>
      </c>
      <c r="N17" s="11">
        <v>3</v>
      </c>
      <c r="O17" s="11">
        <v>45</v>
      </c>
      <c r="P17" s="9">
        <f t="shared" si="2"/>
        <v>3.75</v>
      </c>
      <c r="Q17" s="9">
        <f t="shared" si="5"/>
        <v>2.34</v>
      </c>
      <c r="R17" s="9">
        <f t="shared" si="3"/>
        <v>2.34</v>
      </c>
      <c r="S17" s="21">
        <f t="shared" si="6"/>
        <v>6.350902184235518</v>
      </c>
      <c r="T17" s="9">
        <v>2.34</v>
      </c>
      <c r="U17" s="9">
        <v>0.14861111111111111</v>
      </c>
      <c r="V17" s="9">
        <f t="shared" si="0"/>
        <v>2.2229999999999999</v>
      </c>
      <c r="W17" s="9">
        <f t="shared" si="4"/>
        <v>0</v>
      </c>
      <c r="X17" s="9"/>
      <c r="Y17" s="9"/>
      <c r="Z17" s="9"/>
      <c r="AA17" s="21"/>
    </row>
    <row r="18" spans="1:27" ht="20.100000000000001" customHeight="1" x14ac:dyDescent="0.25">
      <c r="A18" s="39">
        <v>42845</v>
      </c>
      <c r="B18" s="40" t="s">
        <v>66</v>
      </c>
      <c r="C18" s="41">
        <v>0.436</v>
      </c>
      <c r="D18" s="42"/>
      <c r="E18" s="42" t="s">
        <v>13</v>
      </c>
      <c r="F18" s="39"/>
      <c r="G18" s="11">
        <v>0</v>
      </c>
      <c r="H18" s="11">
        <v>100</v>
      </c>
      <c r="I18" s="11">
        <v>0</v>
      </c>
      <c r="J18" s="10"/>
      <c r="K18" s="31"/>
      <c r="L18" s="9">
        <f t="shared" si="1"/>
        <v>0</v>
      </c>
      <c r="N18" s="11">
        <v>1</v>
      </c>
      <c r="O18" s="11">
        <v>10</v>
      </c>
      <c r="P18" s="9">
        <f t="shared" si="2"/>
        <v>1.1666666666666667</v>
      </c>
      <c r="Q18" s="9">
        <f t="shared" si="5"/>
        <v>0.72800000000000009</v>
      </c>
      <c r="R18" s="9">
        <f t="shared" si="3"/>
        <v>0.72800000000000009</v>
      </c>
      <c r="S18" s="21">
        <f t="shared" si="6"/>
        <v>0</v>
      </c>
      <c r="T18" s="9">
        <v>0.72800000000000009</v>
      </c>
      <c r="U18" s="9">
        <v>0</v>
      </c>
      <c r="V18" s="9">
        <f t="shared" si="0"/>
        <v>0.72800000000000009</v>
      </c>
      <c r="W18" s="9">
        <f t="shared" si="4"/>
        <v>0</v>
      </c>
      <c r="X18" s="9"/>
      <c r="Y18" s="9"/>
      <c r="Z18" s="9"/>
      <c r="AA18" s="21"/>
    </row>
    <row r="19" spans="1:27" ht="20.100000000000001" customHeight="1" x14ac:dyDescent="0.25">
      <c r="A19" s="39">
        <v>42846</v>
      </c>
      <c r="B19" s="40" t="s">
        <v>67</v>
      </c>
      <c r="C19" s="41">
        <v>0.33400000000000002</v>
      </c>
      <c r="D19" s="42"/>
      <c r="E19" s="42" t="s">
        <v>13</v>
      </c>
      <c r="F19" s="39"/>
      <c r="G19" s="11">
        <v>0</v>
      </c>
      <c r="H19" s="11">
        <v>100</v>
      </c>
      <c r="I19" s="11">
        <v>0</v>
      </c>
      <c r="K19" s="31"/>
      <c r="L19" s="9">
        <f t="shared" si="1"/>
        <v>0</v>
      </c>
      <c r="N19" s="11">
        <v>0</v>
      </c>
      <c r="O19" s="11">
        <v>35</v>
      </c>
      <c r="P19" s="9">
        <f t="shared" si="2"/>
        <v>0.58333333333333337</v>
      </c>
      <c r="Q19" s="9">
        <f t="shared" si="5"/>
        <v>0.36400000000000005</v>
      </c>
      <c r="R19" s="9">
        <f t="shared" si="3"/>
        <v>0.36400000000000005</v>
      </c>
      <c r="S19" s="21">
        <f t="shared" si="6"/>
        <v>0</v>
      </c>
      <c r="T19" s="9">
        <v>0.36400000000000005</v>
      </c>
      <c r="U19" s="9">
        <v>0</v>
      </c>
      <c r="V19" s="9">
        <f t="shared" si="0"/>
        <v>0.36400000000000005</v>
      </c>
      <c r="W19" s="9">
        <f t="shared" si="4"/>
        <v>0</v>
      </c>
      <c r="X19" s="9"/>
      <c r="Y19" s="9"/>
      <c r="Z19" s="9"/>
      <c r="AA19" s="21"/>
    </row>
    <row r="20" spans="1:27" ht="20.100000000000001" customHeight="1" x14ac:dyDescent="0.25">
      <c r="A20" s="34">
        <v>42854</v>
      </c>
      <c r="B20" s="35" t="s">
        <v>68</v>
      </c>
      <c r="C20" s="36">
        <v>0.153</v>
      </c>
      <c r="D20" s="37"/>
      <c r="E20" s="37" t="s">
        <v>13</v>
      </c>
      <c r="F20" s="34"/>
      <c r="G20" s="11">
        <v>0</v>
      </c>
      <c r="H20" s="11">
        <v>100</v>
      </c>
      <c r="I20" s="11">
        <v>0</v>
      </c>
      <c r="K20" s="31"/>
      <c r="L20" s="9">
        <f t="shared" si="1"/>
        <v>0</v>
      </c>
      <c r="N20" s="11">
        <v>1</v>
      </c>
      <c r="O20" s="11">
        <v>5</v>
      </c>
      <c r="P20" s="9">
        <f t="shared" si="2"/>
        <v>1.0833333333333333</v>
      </c>
      <c r="Q20" s="9">
        <f t="shared" si="5"/>
        <v>0.67599999999999993</v>
      </c>
      <c r="R20" s="9">
        <f t="shared" si="3"/>
        <v>0.67599999999999993</v>
      </c>
      <c r="S20" s="21">
        <f t="shared" si="6"/>
        <v>0</v>
      </c>
      <c r="T20" s="9">
        <v>0.67599999999999993</v>
      </c>
      <c r="U20" s="9">
        <v>0</v>
      </c>
      <c r="V20" s="9">
        <f t="shared" si="0"/>
        <v>0.67599999999999993</v>
      </c>
      <c r="W20" s="9">
        <f t="shared" si="4"/>
        <v>0</v>
      </c>
      <c r="X20" s="9"/>
      <c r="Y20" s="9"/>
      <c r="Z20" s="9"/>
      <c r="AA20" s="21"/>
    </row>
    <row r="21" spans="1:27" ht="20.100000000000001" customHeight="1" x14ac:dyDescent="0.25">
      <c r="A21" s="34">
        <v>42855</v>
      </c>
      <c r="B21" s="35" t="s">
        <v>69</v>
      </c>
      <c r="C21" s="36">
        <v>0.252</v>
      </c>
      <c r="D21" s="37">
        <v>0</v>
      </c>
      <c r="E21" s="37" t="s">
        <v>206</v>
      </c>
      <c r="F21" s="34"/>
      <c r="G21" s="11">
        <v>50</v>
      </c>
      <c r="H21" s="11">
        <v>50</v>
      </c>
      <c r="I21" s="11">
        <v>0</v>
      </c>
      <c r="K21" s="31">
        <v>2632</v>
      </c>
      <c r="L21" s="9">
        <f t="shared" si="1"/>
        <v>0.73111111111111116</v>
      </c>
      <c r="N21" s="11">
        <v>2</v>
      </c>
      <c r="O21" s="11">
        <v>10</v>
      </c>
      <c r="P21" s="9">
        <f t="shared" si="2"/>
        <v>2.1666666666666665</v>
      </c>
      <c r="Q21" s="9">
        <f t="shared" si="5"/>
        <v>1.3519999999999999</v>
      </c>
      <c r="R21" s="9">
        <f t="shared" si="3"/>
        <v>1.3519999999999999</v>
      </c>
      <c r="S21" s="21">
        <f t="shared" si="6"/>
        <v>54.076265614727163</v>
      </c>
      <c r="T21" s="9">
        <v>1.3519999999999999</v>
      </c>
      <c r="U21" s="9">
        <v>0.73111111111111116</v>
      </c>
      <c r="V21" s="9">
        <f t="shared" si="0"/>
        <v>0.67599999999999993</v>
      </c>
      <c r="W21" s="9">
        <f t="shared" si="4"/>
        <v>0</v>
      </c>
      <c r="X21" s="9">
        <f>SUM(U16:U21)</f>
        <v>2.4422222222222221</v>
      </c>
      <c r="Y21" s="9">
        <f>100*X21/SUM(T16:T21)</f>
        <v>34.777105336023105</v>
      </c>
      <c r="Z21" s="9">
        <f>100*SUM(V16:V21)/SUM(T16:T21)</f>
        <v>66.457814168743326</v>
      </c>
      <c r="AA21" s="9">
        <f>100*SUM(W16:W21)/SUM(T16:T21)</f>
        <v>0</v>
      </c>
    </row>
    <row r="22" spans="1:27" ht="20.100000000000001" customHeight="1" x14ac:dyDescent="0.25">
      <c r="A22" s="43">
        <v>42856</v>
      </c>
      <c r="B22" s="44" t="s">
        <v>70</v>
      </c>
      <c r="C22" s="45">
        <v>0.35</v>
      </c>
      <c r="D22" s="46"/>
      <c r="E22" s="46" t="s">
        <v>198</v>
      </c>
      <c r="F22" s="43"/>
      <c r="G22" s="47">
        <v>90</v>
      </c>
      <c r="H22" s="47">
        <v>10</v>
      </c>
      <c r="I22" s="47">
        <v>0</v>
      </c>
      <c r="J22" s="48"/>
      <c r="K22" s="49">
        <v>5327</v>
      </c>
      <c r="L22" s="33">
        <f t="shared" si="1"/>
        <v>1.4797222222222222</v>
      </c>
      <c r="M22" s="48"/>
      <c r="N22" s="47">
        <v>3</v>
      </c>
      <c r="O22" s="47">
        <v>0</v>
      </c>
      <c r="P22" s="33">
        <f t="shared" si="2"/>
        <v>3</v>
      </c>
      <c r="Q22" s="33">
        <f t="shared" si="5"/>
        <v>1.8719999999999999</v>
      </c>
      <c r="R22" s="33">
        <f t="shared" si="3"/>
        <v>1.8719999999999999</v>
      </c>
      <c r="S22" s="50">
        <v>90</v>
      </c>
      <c r="T22" s="33">
        <v>1.8719999999999999</v>
      </c>
      <c r="U22" s="33">
        <v>1.4797222222222222</v>
      </c>
      <c r="V22" s="33">
        <f t="shared" si="0"/>
        <v>0.18720000000000001</v>
      </c>
      <c r="W22" s="33">
        <f t="shared" si="4"/>
        <v>0</v>
      </c>
      <c r="X22" s="33"/>
      <c r="Y22" s="33"/>
      <c r="Z22" s="33"/>
      <c r="AA22" s="50"/>
    </row>
    <row r="23" spans="1:27" ht="20.100000000000001" customHeight="1" x14ac:dyDescent="0.25">
      <c r="A23" s="34">
        <v>42857</v>
      </c>
      <c r="B23" s="35" t="s">
        <v>71</v>
      </c>
      <c r="C23" s="36">
        <v>0.46</v>
      </c>
      <c r="D23" s="37"/>
      <c r="E23" s="37" t="s">
        <v>208</v>
      </c>
      <c r="F23" s="34" t="s">
        <v>264</v>
      </c>
      <c r="G23" s="30">
        <v>25</v>
      </c>
      <c r="H23" s="30">
        <v>75</v>
      </c>
      <c r="I23" s="30">
        <v>0</v>
      </c>
      <c r="K23" s="31">
        <v>1756</v>
      </c>
      <c r="L23" s="9">
        <f t="shared" si="1"/>
        <v>0.48777777777777775</v>
      </c>
      <c r="N23" s="11">
        <v>3</v>
      </c>
      <c r="O23" s="11">
        <v>45</v>
      </c>
      <c r="P23" s="9">
        <f t="shared" si="2"/>
        <v>3.75</v>
      </c>
      <c r="Q23" s="9">
        <f t="shared" si="5"/>
        <v>2.34</v>
      </c>
      <c r="R23" s="9">
        <f t="shared" si="3"/>
        <v>2.34</v>
      </c>
      <c r="S23" s="21">
        <f t="shared" ref="S23:S28" si="7">100*L23/Q23</f>
        <v>20.845204178537514</v>
      </c>
      <c r="T23" s="9">
        <v>2.34</v>
      </c>
      <c r="U23" s="9">
        <v>0.48777777777777775</v>
      </c>
      <c r="V23" s="9">
        <f t="shared" si="0"/>
        <v>1.7549999999999999</v>
      </c>
      <c r="W23" s="9">
        <f t="shared" si="4"/>
        <v>0</v>
      </c>
      <c r="X23" s="9"/>
      <c r="Y23" s="9"/>
      <c r="Z23" s="9"/>
      <c r="AA23" s="21"/>
    </row>
    <row r="24" spans="1:27" ht="20.100000000000001" customHeight="1" x14ac:dyDescent="0.25">
      <c r="A24" s="39">
        <v>42875</v>
      </c>
      <c r="B24" s="40" t="s">
        <v>72</v>
      </c>
      <c r="C24" s="41">
        <v>0.39600000000000002</v>
      </c>
      <c r="D24" s="42" t="s">
        <v>210</v>
      </c>
      <c r="E24" s="42" t="s">
        <v>19</v>
      </c>
      <c r="F24" s="39"/>
      <c r="G24" s="11">
        <v>95</v>
      </c>
      <c r="H24" s="11">
        <v>0</v>
      </c>
      <c r="I24" s="11">
        <v>5</v>
      </c>
      <c r="K24" s="31">
        <v>1839</v>
      </c>
      <c r="L24" s="9">
        <f t="shared" si="1"/>
        <v>0.51083333333333336</v>
      </c>
      <c r="N24" s="11">
        <v>0</v>
      </c>
      <c r="O24" s="11">
        <v>55</v>
      </c>
      <c r="P24" s="9">
        <f t="shared" si="2"/>
        <v>0.91666666666666663</v>
      </c>
      <c r="Q24" s="9">
        <f t="shared" si="5"/>
        <v>0.57199999999999995</v>
      </c>
      <c r="R24" s="9">
        <f t="shared" si="3"/>
        <v>0.57199999999999995</v>
      </c>
      <c r="S24" s="21">
        <f t="shared" si="7"/>
        <v>89.306526806526819</v>
      </c>
      <c r="T24" s="9">
        <v>0.57199999999999995</v>
      </c>
      <c r="U24" s="9">
        <v>0.51083333333333336</v>
      </c>
      <c r="V24" s="9">
        <f t="shared" si="0"/>
        <v>0</v>
      </c>
      <c r="W24" s="9">
        <f t="shared" si="4"/>
        <v>2.86E-2</v>
      </c>
      <c r="X24" s="9"/>
      <c r="Y24" s="9"/>
      <c r="Z24" s="9"/>
      <c r="AA24" s="21"/>
    </row>
    <row r="25" spans="1:27" ht="20.100000000000001" customHeight="1" x14ac:dyDescent="0.25">
      <c r="A25" s="39">
        <v>42876</v>
      </c>
      <c r="B25" s="40" t="s">
        <v>73</v>
      </c>
      <c r="C25" s="41">
        <v>0.28699999999999998</v>
      </c>
      <c r="D25" s="42"/>
      <c r="E25" s="42" t="s">
        <v>13</v>
      </c>
      <c r="F25" s="39"/>
      <c r="G25" s="11">
        <v>0</v>
      </c>
      <c r="H25" s="11">
        <v>100</v>
      </c>
      <c r="I25" s="11">
        <v>0</v>
      </c>
      <c r="K25" s="31"/>
      <c r="L25" s="9">
        <f t="shared" si="1"/>
        <v>0</v>
      </c>
      <c r="N25" s="11">
        <v>0</v>
      </c>
      <c r="O25" s="11">
        <v>25</v>
      </c>
      <c r="P25" s="9">
        <f t="shared" si="2"/>
        <v>0.41666666666666669</v>
      </c>
      <c r="Q25" s="9">
        <f t="shared" si="5"/>
        <v>0.26</v>
      </c>
      <c r="R25" s="9">
        <f t="shared" si="3"/>
        <v>0.26</v>
      </c>
      <c r="S25" s="21">
        <f t="shared" si="7"/>
        <v>0</v>
      </c>
      <c r="T25" s="9">
        <v>0.26</v>
      </c>
      <c r="U25" s="9">
        <v>0</v>
      </c>
      <c r="V25" s="9">
        <f t="shared" si="0"/>
        <v>0.26</v>
      </c>
      <c r="W25" s="9">
        <f t="shared" si="4"/>
        <v>0</v>
      </c>
      <c r="X25" s="9"/>
      <c r="Y25" s="9"/>
      <c r="Z25" s="9"/>
      <c r="AA25" s="21"/>
    </row>
    <row r="26" spans="1:27" ht="20.100000000000001" customHeight="1" x14ac:dyDescent="0.25">
      <c r="A26" s="34">
        <v>42883</v>
      </c>
      <c r="B26" s="35" t="s">
        <v>74</v>
      </c>
      <c r="C26" s="36">
        <v>0.127</v>
      </c>
      <c r="D26" s="37"/>
      <c r="E26" s="37" t="s">
        <v>13</v>
      </c>
      <c r="F26" s="34"/>
      <c r="G26" s="11">
        <v>0</v>
      </c>
      <c r="H26" s="11">
        <v>100</v>
      </c>
      <c r="I26" s="11">
        <v>0</v>
      </c>
      <c r="K26" s="31"/>
      <c r="L26" s="9">
        <f t="shared" si="1"/>
        <v>0</v>
      </c>
      <c r="N26" s="11">
        <v>0</v>
      </c>
      <c r="O26" s="11">
        <v>25</v>
      </c>
      <c r="P26" s="9">
        <f t="shared" si="2"/>
        <v>0.41666666666666669</v>
      </c>
      <c r="Q26" s="9">
        <f t="shared" si="5"/>
        <v>0.26</v>
      </c>
      <c r="R26" s="9">
        <f t="shared" si="3"/>
        <v>0.26</v>
      </c>
      <c r="S26" s="21">
        <f t="shared" si="7"/>
        <v>0</v>
      </c>
      <c r="T26" s="9">
        <v>0.26</v>
      </c>
      <c r="U26" s="9">
        <v>0</v>
      </c>
      <c r="V26" s="9">
        <f t="shared" si="0"/>
        <v>0.26</v>
      </c>
      <c r="W26" s="9">
        <f t="shared" si="4"/>
        <v>0</v>
      </c>
      <c r="X26" s="9"/>
      <c r="Y26" s="9"/>
      <c r="Z26" s="9"/>
      <c r="AA26" s="21"/>
    </row>
    <row r="27" spans="1:27" ht="20.100000000000001" customHeight="1" x14ac:dyDescent="0.25">
      <c r="A27" s="34">
        <v>42884</v>
      </c>
      <c r="B27" s="35" t="s">
        <v>75</v>
      </c>
      <c r="C27" s="36">
        <v>0.214</v>
      </c>
      <c r="D27" s="37" t="s">
        <v>209</v>
      </c>
      <c r="E27" s="37" t="s">
        <v>211</v>
      </c>
      <c r="F27" s="34"/>
      <c r="G27" s="11">
        <v>56</v>
      </c>
      <c r="H27" s="11">
        <v>44</v>
      </c>
      <c r="I27" s="11">
        <v>0</v>
      </c>
      <c r="K27" s="31">
        <v>1484</v>
      </c>
      <c r="L27" s="9">
        <f t="shared" si="1"/>
        <v>0.41222222222222221</v>
      </c>
      <c r="N27" s="11">
        <v>1</v>
      </c>
      <c r="O27" s="11">
        <v>20</v>
      </c>
      <c r="P27" s="9">
        <f t="shared" si="2"/>
        <v>1.3333333333333333</v>
      </c>
      <c r="Q27" s="9">
        <f t="shared" si="5"/>
        <v>0.83199999999999996</v>
      </c>
      <c r="R27" s="9">
        <f t="shared" si="3"/>
        <v>0.83199999999999996</v>
      </c>
      <c r="S27" s="21">
        <f t="shared" si="7"/>
        <v>49.54594017094017</v>
      </c>
      <c r="T27" s="9">
        <v>0.83199999999999996</v>
      </c>
      <c r="U27" s="9">
        <v>0.41222222222222221</v>
      </c>
      <c r="V27" s="9">
        <f t="shared" si="0"/>
        <v>0.36607999999999996</v>
      </c>
      <c r="W27" s="9">
        <f t="shared" si="4"/>
        <v>0</v>
      </c>
      <c r="X27" s="9"/>
      <c r="Y27" s="9"/>
      <c r="Z27" s="9"/>
      <c r="AA27" s="21"/>
    </row>
    <row r="28" spans="1:27" ht="20.100000000000001" customHeight="1" x14ac:dyDescent="0.25">
      <c r="A28" s="34">
        <v>42885</v>
      </c>
      <c r="B28" s="35" t="s">
        <v>76</v>
      </c>
      <c r="C28" s="36">
        <v>0.314</v>
      </c>
      <c r="D28" s="37"/>
      <c r="E28" s="37" t="s">
        <v>211</v>
      </c>
      <c r="F28" s="34"/>
      <c r="G28" s="11">
        <v>65</v>
      </c>
      <c r="H28" s="11">
        <v>10</v>
      </c>
      <c r="I28" s="11">
        <v>25</v>
      </c>
      <c r="K28" s="31">
        <v>3607</v>
      </c>
      <c r="L28" s="9">
        <f t="shared" si="1"/>
        <v>1.0019444444444445</v>
      </c>
      <c r="N28" s="11">
        <v>2</v>
      </c>
      <c r="O28" s="11">
        <v>5</v>
      </c>
      <c r="P28" s="9">
        <f t="shared" si="2"/>
        <v>2.0833333333333335</v>
      </c>
      <c r="Q28" s="9">
        <f t="shared" si="5"/>
        <v>1.3</v>
      </c>
      <c r="R28" s="9">
        <f t="shared" si="3"/>
        <v>1.3</v>
      </c>
      <c r="S28" s="21">
        <f t="shared" si="7"/>
        <v>77.072649572649581</v>
      </c>
      <c r="T28" s="9">
        <v>1.3</v>
      </c>
      <c r="U28" s="9">
        <v>1.0019444444444445</v>
      </c>
      <c r="V28" s="9">
        <f t="shared" si="0"/>
        <v>0.13</v>
      </c>
      <c r="W28" s="9">
        <f t="shared" si="4"/>
        <v>0.32500000000000001</v>
      </c>
      <c r="X28" s="9"/>
      <c r="Y28" s="9"/>
      <c r="Z28" s="9"/>
      <c r="AA28" s="21"/>
    </row>
    <row r="29" spans="1:27" ht="20.100000000000001" customHeight="1" x14ac:dyDescent="0.25">
      <c r="A29" s="34">
        <v>42886</v>
      </c>
      <c r="B29" s="35" t="s">
        <v>77</v>
      </c>
      <c r="C29" s="36">
        <v>0.42</v>
      </c>
      <c r="D29" s="37"/>
      <c r="E29" s="37" t="s">
        <v>201</v>
      </c>
      <c r="F29" s="34" t="s">
        <v>265</v>
      </c>
      <c r="G29" s="11">
        <v>100</v>
      </c>
      <c r="H29" s="11">
        <v>0</v>
      </c>
      <c r="I29" s="11">
        <v>0</v>
      </c>
      <c r="K29" s="31">
        <v>4880</v>
      </c>
      <c r="L29" s="9">
        <f t="shared" si="1"/>
        <v>1.3555555555555556</v>
      </c>
      <c r="N29" s="11">
        <v>2</v>
      </c>
      <c r="O29" s="11">
        <v>45</v>
      </c>
      <c r="P29" s="9">
        <f t="shared" si="2"/>
        <v>2.75</v>
      </c>
      <c r="Q29" s="9">
        <f t="shared" si="5"/>
        <v>1.716</v>
      </c>
      <c r="R29" s="9">
        <f t="shared" si="3"/>
        <v>1.3555555555555556</v>
      </c>
      <c r="S29" s="21">
        <v>100</v>
      </c>
      <c r="T29" s="9">
        <v>1.3555555555555556</v>
      </c>
      <c r="U29" s="9">
        <v>1.3555555555555556</v>
      </c>
      <c r="V29" s="9">
        <f t="shared" si="0"/>
        <v>0</v>
      </c>
      <c r="W29" s="9">
        <f t="shared" si="4"/>
        <v>0</v>
      </c>
      <c r="X29" s="9">
        <f>SUM(U22:U29)</f>
        <v>5.2480555555555561</v>
      </c>
      <c r="Y29" s="9">
        <f>100*X29/SUM(T22:T29)</f>
        <v>59.694277336838404</v>
      </c>
      <c r="Z29" s="9">
        <f>100*SUM(V22:V29)/SUM(T22:T29)</f>
        <v>33.64910772963956</v>
      </c>
      <c r="AA29" s="9">
        <f>100*SUM(W24:W29)/SUM(T22:T29)</f>
        <v>4.0220413528133063</v>
      </c>
    </row>
    <row r="30" spans="1:27" ht="20.100000000000001" customHeight="1" x14ac:dyDescent="0.25">
      <c r="A30" s="43">
        <v>42904</v>
      </c>
      <c r="B30" s="44" t="s">
        <v>78</v>
      </c>
      <c r="C30" s="45">
        <v>0.435</v>
      </c>
      <c r="D30" s="46"/>
      <c r="E30" s="46" t="s">
        <v>17</v>
      </c>
      <c r="F30" s="43" t="s">
        <v>212</v>
      </c>
      <c r="G30" s="47">
        <v>0</v>
      </c>
      <c r="H30" s="47">
        <v>100</v>
      </c>
      <c r="I30" s="47">
        <v>0</v>
      </c>
      <c r="J30" s="48"/>
      <c r="K30" s="49"/>
      <c r="L30" s="33">
        <f t="shared" si="1"/>
        <v>0</v>
      </c>
      <c r="M30" s="48"/>
      <c r="N30" s="47">
        <v>1</v>
      </c>
      <c r="O30" s="47">
        <v>40</v>
      </c>
      <c r="P30" s="33">
        <f t="shared" si="2"/>
        <v>1.6666666666666665</v>
      </c>
      <c r="Q30" s="33">
        <f t="shared" si="5"/>
        <v>1.0399999999999998</v>
      </c>
      <c r="R30" s="33">
        <f t="shared" si="3"/>
        <v>1.0399999999999998</v>
      </c>
      <c r="S30" s="50">
        <f>100*L30/Q30</f>
        <v>0</v>
      </c>
      <c r="T30" s="33">
        <v>1.0399999999999998</v>
      </c>
      <c r="U30" s="33">
        <v>0</v>
      </c>
      <c r="V30" s="33">
        <f t="shared" si="0"/>
        <v>1.0399999999999998</v>
      </c>
      <c r="W30" s="33">
        <f t="shared" si="4"/>
        <v>0</v>
      </c>
      <c r="X30" s="33"/>
      <c r="Y30" s="33"/>
      <c r="Z30" s="33"/>
      <c r="AA30" s="50"/>
    </row>
    <row r="31" spans="1:27" ht="20.100000000000001" customHeight="1" x14ac:dyDescent="0.25">
      <c r="A31" s="39">
        <v>42905</v>
      </c>
      <c r="B31" s="40" t="s">
        <v>79</v>
      </c>
      <c r="C31" s="41">
        <v>0.32600000000000001</v>
      </c>
      <c r="D31" s="42" t="s">
        <v>215</v>
      </c>
      <c r="E31" s="42" t="s">
        <v>214</v>
      </c>
      <c r="F31" s="39"/>
      <c r="G31" s="11">
        <v>90</v>
      </c>
      <c r="H31" s="11">
        <v>10</v>
      </c>
      <c r="I31" s="11">
        <v>0</v>
      </c>
      <c r="K31" s="31">
        <v>2294</v>
      </c>
      <c r="L31" s="9">
        <f t="shared" si="1"/>
        <v>0.63722222222222225</v>
      </c>
      <c r="N31" s="11">
        <v>1</v>
      </c>
      <c r="O31" s="11">
        <v>10</v>
      </c>
      <c r="P31" s="9">
        <f t="shared" si="2"/>
        <v>1.1666666666666667</v>
      </c>
      <c r="Q31" s="9">
        <f t="shared" si="5"/>
        <v>0.72800000000000009</v>
      </c>
      <c r="R31" s="9">
        <f t="shared" si="3"/>
        <v>0.72800000000000009</v>
      </c>
      <c r="S31" s="21">
        <f>100*L31/Q31</f>
        <v>87.530525030525013</v>
      </c>
      <c r="T31" s="9">
        <v>0.72800000000000009</v>
      </c>
      <c r="U31" s="9">
        <v>0.63722222222222225</v>
      </c>
      <c r="V31" s="9">
        <f t="shared" si="0"/>
        <v>7.2800000000000017E-2</v>
      </c>
      <c r="W31" s="9">
        <f t="shared" si="4"/>
        <v>0</v>
      </c>
      <c r="X31" s="9"/>
      <c r="Y31" s="9"/>
      <c r="Z31" s="9"/>
      <c r="AA31" s="21"/>
    </row>
    <row r="32" spans="1:27" ht="20.100000000000001" customHeight="1" x14ac:dyDescent="0.25">
      <c r="A32" s="39">
        <v>42906</v>
      </c>
      <c r="B32" s="40" t="s">
        <v>80</v>
      </c>
      <c r="C32" s="41">
        <v>0.223</v>
      </c>
      <c r="D32" s="42">
        <v>0</v>
      </c>
      <c r="E32" s="42" t="s">
        <v>201</v>
      </c>
      <c r="F32" s="39"/>
      <c r="G32" s="11">
        <v>100</v>
      </c>
      <c r="H32" s="11">
        <v>0</v>
      </c>
      <c r="I32" s="11">
        <v>0</v>
      </c>
      <c r="K32" s="31">
        <v>1082</v>
      </c>
      <c r="L32" s="9">
        <f t="shared" si="1"/>
        <v>0.30055555555555558</v>
      </c>
      <c r="N32" s="11">
        <v>0</v>
      </c>
      <c r="O32" s="11">
        <v>35</v>
      </c>
      <c r="P32" s="9">
        <f t="shared" si="2"/>
        <v>0.58333333333333337</v>
      </c>
      <c r="Q32" s="9">
        <f t="shared" si="5"/>
        <v>0.36400000000000005</v>
      </c>
      <c r="R32" s="9">
        <f t="shared" si="3"/>
        <v>0.30055555555555558</v>
      </c>
      <c r="S32" s="21">
        <v>100</v>
      </c>
      <c r="T32" s="9">
        <v>0.30055555555555558</v>
      </c>
      <c r="U32" s="9">
        <v>0.30055555555555558</v>
      </c>
      <c r="V32" s="9">
        <f t="shared" si="0"/>
        <v>0</v>
      </c>
      <c r="W32" s="9">
        <f t="shared" si="4"/>
        <v>0</v>
      </c>
      <c r="X32" s="9"/>
      <c r="Y32" s="9"/>
      <c r="Z32" s="9"/>
      <c r="AA32" s="21"/>
    </row>
    <row r="33" spans="1:27" ht="20.100000000000001" customHeight="1" x14ac:dyDescent="0.25">
      <c r="A33" s="34">
        <v>42913</v>
      </c>
      <c r="B33" s="35" t="s">
        <v>81</v>
      </c>
      <c r="C33" s="36">
        <v>0.182</v>
      </c>
      <c r="D33" s="37">
        <v>1</v>
      </c>
      <c r="E33" s="37" t="s">
        <v>216</v>
      </c>
      <c r="F33" s="34"/>
      <c r="G33" s="11">
        <v>100</v>
      </c>
      <c r="H33" s="11">
        <v>0</v>
      </c>
      <c r="I33" s="11">
        <v>0</v>
      </c>
      <c r="K33" s="31">
        <v>1380</v>
      </c>
      <c r="L33" s="9">
        <f t="shared" si="1"/>
        <v>0.38333333333333336</v>
      </c>
      <c r="N33" s="11">
        <v>0</v>
      </c>
      <c r="O33" s="11">
        <v>35</v>
      </c>
      <c r="P33" s="9">
        <f t="shared" si="2"/>
        <v>0.58333333333333337</v>
      </c>
      <c r="Q33" s="9">
        <f t="shared" si="5"/>
        <v>0.36400000000000005</v>
      </c>
      <c r="R33" s="9">
        <f t="shared" si="3"/>
        <v>0.38333333333333336</v>
      </c>
      <c r="S33" s="21">
        <v>100</v>
      </c>
      <c r="T33" s="9">
        <v>0.38333333333333336</v>
      </c>
      <c r="U33" s="9">
        <v>0.38333333333333336</v>
      </c>
      <c r="V33" s="9">
        <f t="shared" si="0"/>
        <v>0</v>
      </c>
      <c r="W33" s="9">
        <f t="shared" si="4"/>
        <v>0</v>
      </c>
      <c r="X33" s="9"/>
      <c r="Y33" s="9"/>
      <c r="Z33" s="9"/>
      <c r="AA33" s="21"/>
    </row>
    <row r="34" spans="1:27" ht="20.100000000000001" customHeight="1" x14ac:dyDescent="0.25">
      <c r="A34" s="34">
        <v>42914</v>
      </c>
      <c r="B34" s="35" t="s">
        <v>82</v>
      </c>
      <c r="C34" s="36">
        <v>0.27400000000000002</v>
      </c>
      <c r="D34" s="37" t="s">
        <v>209</v>
      </c>
      <c r="E34" s="37" t="s">
        <v>216</v>
      </c>
      <c r="F34" s="34"/>
      <c r="G34" s="11">
        <v>100</v>
      </c>
      <c r="H34" s="11">
        <v>0</v>
      </c>
      <c r="I34" s="11">
        <v>0</v>
      </c>
      <c r="K34" s="31">
        <v>3070</v>
      </c>
      <c r="L34" s="9">
        <f t="shared" si="1"/>
        <v>0.85277777777777775</v>
      </c>
      <c r="N34" s="11">
        <v>1</v>
      </c>
      <c r="O34" s="11">
        <v>15</v>
      </c>
      <c r="P34" s="9">
        <f t="shared" si="2"/>
        <v>1.25</v>
      </c>
      <c r="Q34" s="9">
        <f t="shared" si="5"/>
        <v>0.78</v>
      </c>
      <c r="R34" s="9">
        <f t="shared" si="3"/>
        <v>0.85277777777777775</v>
      </c>
      <c r="S34" s="21">
        <v>100</v>
      </c>
      <c r="T34" s="9">
        <v>0.85277777777777775</v>
      </c>
      <c r="U34" s="9">
        <v>0.85277777777777775</v>
      </c>
      <c r="V34" s="9">
        <f t="shared" si="0"/>
        <v>0</v>
      </c>
      <c r="W34" s="9">
        <f t="shared" si="4"/>
        <v>0</v>
      </c>
      <c r="X34" s="9"/>
      <c r="Y34" s="9"/>
      <c r="Z34" s="9"/>
      <c r="AA34" s="21"/>
    </row>
    <row r="35" spans="1:27" ht="20.100000000000001" customHeight="1" x14ac:dyDescent="0.25">
      <c r="A35" s="34">
        <v>42915</v>
      </c>
      <c r="B35" s="35" t="s">
        <v>83</v>
      </c>
      <c r="C35" s="36">
        <v>0.374</v>
      </c>
      <c r="D35" s="37">
        <v>0</v>
      </c>
      <c r="E35" s="37" t="s">
        <v>216</v>
      </c>
      <c r="F35" s="34"/>
      <c r="G35" s="11">
        <v>100</v>
      </c>
      <c r="H35" s="11">
        <v>0</v>
      </c>
      <c r="I35" s="11">
        <v>0</v>
      </c>
      <c r="K35" s="31">
        <v>4024</v>
      </c>
      <c r="L35" s="9">
        <f t="shared" si="1"/>
        <v>1.1177777777777778</v>
      </c>
      <c r="N35" s="11">
        <v>1</v>
      </c>
      <c r="O35" s="11">
        <v>45</v>
      </c>
      <c r="P35" s="9">
        <f t="shared" si="2"/>
        <v>1.75</v>
      </c>
      <c r="Q35" s="9">
        <f t="shared" si="5"/>
        <v>1.0920000000000001</v>
      </c>
      <c r="R35" s="9">
        <f t="shared" si="3"/>
        <v>1.1177777777777778</v>
      </c>
      <c r="S35" s="21">
        <v>100</v>
      </c>
      <c r="T35" s="9">
        <v>1.1177777777777778</v>
      </c>
      <c r="U35" s="9">
        <v>1.1177777777777778</v>
      </c>
      <c r="V35" s="9">
        <f t="shared" si="0"/>
        <v>0</v>
      </c>
      <c r="W35" s="9">
        <f t="shared" si="4"/>
        <v>0</v>
      </c>
      <c r="X35" s="9">
        <f>SUM(U30:U35)</f>
        <v>3.291666666666667</v>
      </c>
      <c r="Y35" s="9">
        <f>100*X35/SUM(T30:T35)</f>
        <v>74.430933118938754</v>
      </c>
      <c r="Z35" s="9">
        <f>100*SUM(V30:V35)/SUM(T30:T35)</f>
        <v>25.162554645495195</v>
      </c>
      <c r="AA35" s="9">
        <f>100*SUM(W30:W35)/SUM(T30:T35)</f>
        <v>0</v>
      </c>
    </row>
    <row r="36" spans="1:27" ht="20.100000000000001" customHeight="1" x14ac:dyDescent="0.25">
      <c r="A36" s="43">
        <v>42934</v>
      </c>
      <c r="B36" s="44" t="s">
        <v>84</v>
      </c>
      <c r="C36" s="45">
        <v>0.35599999999999998</v>
      </c>
      <c r="D36" s="46"/>
      <c r="E36" s="46" t="s">
        <v>17</v>
      </c>
      <c r="F36" s="43"/>
      <c r="G36" s="47">
        <v>0</v>
      </c>
      <c r="H36" s="47">
        <v>100</v>
      </c>
      <c r="I36" s="47">
        <v>0</v>
      </c>
      <c r="J36" s="48"/>
      <c r="K36" s="49">
        <v>0</v>
      </c>
      <c r="L36" s="33">
        <f t="shared" si="1"/>
        <v>0</v>
      </c>
      <c r="M36" s="48"/>
      <c r="N36" s="47">
        <v>2</v>
      </c>
      <c r="O36" s="47">
        <v>10</v>
      </c>
      <c r="P36" s="33">
        <f t="shared" si="2"/>
        <v>2.1666666666666665</v>
      </c>
      <c r="Q36" s="33">
        <f t="shared" si="5"/>
        <v>1.3519999999999999</v>
      </c>
      <c r="R36" s="33">
        <f t="shared" si="3"/>
        <v>1.3519999999999999</v>
      </c>
      <c r="S36" s="50">
        <f>100*L36/Q36</f>
        <v>0</v>
      </c>
      <c r="T36" s="33">
        <v>1.3519999999999999</v>
      </c>
      <c r="U36" s="33">
        <v>0</v>
      </c>
      <c r="V36" s="33">
        <f t="shared" si="0"/>
        <v>1.3519999999999999</v>
      </c>
      <c r="W36" s="33">
        <f t="shared" si="4"/>
        <v>0</v>
      </c>
      <c r="X36" s="33"/>
      <c r="Y36" s="33"/>
      <c r="Z36" s="33"/>
      <c r="AA36" s="50"/>
    </row>
    <row r="37" spans="1:27" ht="20.100000000000001" customHeight="1" x14ac:dyDescent="0.25">
      <c r="A37" s="39">
        <v>42935</v>
      </c>
      <c r="B37" s="40" t="s">
        <v>85</v>
      </c>
      <c r="C37" s="41">
        <v>0.249</v>
      </c>
      <c r="D37" s="42" t="s">
        <v>209</v>
      </c>
      <c r="E37" s="42" t="s">
        <v>201</v>
      </c>
      <c r="F37" s="39"/>
      <c r="G37" s="11">
        <v>100</v>
      </c>
      <c r="H37" s="11">
        <v>0</v>
      </c>
      <c r="I37" s="11">
        <v>0</v>
      </c>
      <c r="K37" s="31">
        <v>3114</v>
      </c>
      <c r="L37" s="9">
        <f t="shared" si="1"/>
        <v>0.86499999999999999</v>
      </c>
      <c r="N37" s="11">
        <v>1</v>
      </c>
      <c r="O37" s="11">
        <v>30</v>
      </c>
      <c r="P37" s="9">
        <f t="shared" si="2"/>
        <v>1.5</v>
      </c>
      <c r="Q37" s="9">
        <f t="shared" si="5"/>
        <v>0.93599999999999994</v>
      </c>
      <c r="R37" s="9">
        <f t="shared" si="3"/>
        <v>0.86499999999999999</v>
      </c>
      <c r="S37" s="21">
        <v>100</v>
      </c>
      <c r="T37" s="9">
        <v>0.86499999999999999</v>
      </c>
      <c r="U37" s="9">
        <v>0.86499999999999999</v>
      </c>
      <c r="V37" s="9">
        <f t="shared" si="0"/>
        <v>0</v>
      </c>
      <c r="W37" s="9">
        <f t="shared" si="4"/>
        <v>0</v>
      </c>
      <c r="X37" s="9"/>
      <c r="Y37" s="9"/>
      <c r="Z37" s="9"/>
      <c r="AA37" s="21"/>
    </row>
    <row r="38" spans="1:27" ht="20.100000000000001" customHeight="1" x14ac:dyDescent="0.25">
      <c r="A38" s="39">
        <v>42936</v>
      </c>
      <c r="B38" s="40" t="s">
        <v>86</v>
      </c>
      <c r="C38" s="41">
        <v>0.155</v>
      </c>
      <c r="D38" s="42">
        <v>0</v>
      </c>
      <c r="E38" s="42" t="s">
        <v>201</v>
      </c>
      <c r="F38" s="39"/>
      <c r="G38" s="11">
        <v>100</v>
      </c>
      <c r="H38" s="11">
        <v>0</v>
      </c>
      <c r="I38" s="11">
        <v>0</v>
      </c>
      <c r="K38" s="31">
        <v>1425</v>
      </c>
      <c r="L38" s="9">
        <f t="shared" si="1"/>
        <v>0.39583333333333331</v>
      </c>
      <c r="N38" s="11">
        <v>0</v>
      </c>
      <c r="O38" s="11">
        <v>45</v>
      </c>
      <c r="P38" s="9">
        <f t="shared" si="2"/>
        <v>0.75</v>
      </c>
      <c r="Q38" s="9">
        <f t="shared" si="5"/>
        <v>0.46799999999999997</v>
      </c>
      <c r="R38" s="9">
        <f t="shared" si="3"/>
        <v>0.39583333333333331</v>
      </c>
      <c r="S38" s="21">
        <v>100</v>
      </c>
      <c r="T38" s="9">
        <v>0.39583333333333331</v>
      </c>
      <c r="U38" s="9">
        <v>0.39583333333333331</v>
      </c>
      <c r="V38" s="9">
        <f t="shared" si="0"/>
        <v>0</v>
      </c>
      <c r="W38" s="9">
        <f t="shared" si="4"/>
        <v>0</v>
      </c>
      <c r="X38" s="9"/>
      <c r="Y38" s="9"/>
      <c r="Z38" s="9"/>
      <c r="AA38" s="21"/>
    </row>
    <row r="39" spans="1:27" ht="20.100000000000001" customHeight="1" x14ac:dyDescent="0.25">
      <c r="A39" s="34">
        <v>42943</v>
      </c>
      <c r="B39" s="35" t="s">
        <v>87</v>
      </c>
      <c r="C39" s="36">
        <v>0.22800000000000001</v>
      </c>
      <c r="D39" s="37" t="s">
        <v>209</v>
      </c>
      <c r="E39" s="37" t="s">
        <v>216</v>
      </c>
      <c r="F39" s="34"/>
      <c r="G39" s="11">
        <v>100</v>
      </c>
      <c r="H39" s="11">
        <v>0</v>
      </c>
      <c r="I39" s="11">
        <v>0</v>
      </c>
      <c r="K39" s="31">
        <v>1398</v>
      </c>
      <c r="L39" s="9">
        <f t="shared" si="1"/>
        <v>0.38833333333333331</v>
      </c>
      <c r="N39" s="11">
        <v>0</v>
      </c>
      <c r="O39" s="11">
        <v>30</v>
      </c>
      <c r="P39" s="9">
        <f t="shared" si="2"/>
        <v>0.5</v>
      </c>
      <c r="Q39" s="9">
        <f t="shared" si="5"/>
        <v>0.312</v>
      </c>
      <c r="R39" s="9">
        <f t="shared" si="3"/>
        <v>0.38833333333333331</v>
      </c>
      <c r="S39" s="21">
        <v>100</v>
      </c>
      <c r="T39" s="9">
        <v>0.38833333333333331</v>
      </c>
      <c r="U39" s="9">
        <v>0.38833333333333331</v>
      </c>
      <c r="V39" s="9">
        <f t="shared" si="0"/>
        <v>0</v>
      </c>
      <c r="W39" s="9">
        <f t="shared" si="4"/>
        <v>0</v>
      </c>
      <c r="X39" s="9"/>
      <c r="Y39" s="9"/>
      <c r="Z39" s="9"/>
      <c r="AA39" s="21"/>
    </row>
    <row r="40" spans="1:27" ht="20.100000000000001" customHeight="1" x14ac:dyDescent="0.25">
      <c r="A40" s="34">
        <v>42944</v>
      </c>
      <c r="B40" s="35" t="s">
        <v>88</v>
      </c>
      <c r="C40" s="36">
        <v>0.32300000000000001</v>
      </c>
      <c r="D40" s="37" t="s">
        <v>218</v>
      </c>
      <c r="E40" s="37" t="s">
        <v>201</v>
      </c>
      <c r="F40" s="34"/>
      <c r="G40" s="11">
        <v>100</v>
      </c>
      <c r="H40" s="11">
        <v>0</v>
      </c>
      <c r="I40" s="11">
        <v>0</v>
      </c>
      <c r="K40" s="31">
        <v>2445</v>
      </c>
      <c r="L40" s="9">
        <f t="shared" si="1"/>
        <v>0.6791666666666667</v>
      </c>
      <c r="N40" s="11">
        <v>1</v>
      </c>
      <c r="O40" s="11">
        <v>0</v>
      </c>
      <c r="P40" s="9">
        <f t="shared" si="2"/>
        <v>1</v>
      </c>
      <c r="Q40" s="9">
        <f t="shared" si="5"/>
        <v>0.624</v>
      </c>
      <c r="R40" s="9">
        <f t="shared" si="3"/>
        <v>0.6791666666666667</v>
      </c>
      <c r="S40" s="21">
        <v>100</v>
      </c>
      <c r="T40" s="9">
        <v>0.6791666666666667</v>
      </c>
      <c r="U40" s="9">
        <v>0.6791666666666667</v>
      </c>
      <c r="V40" s="9">
        <f t="shared" si="0"/>
        <v>0</v>
      </c>
      <c r="W40" s="9">
        <f t="shared" si="4"/>
        <v>0</v>
      </c>
      <c r="X40" s="9"/>
      <c r="Y40" s="9"/>
      <c r="Z40" s="9"/>
      <c r="AA40" s="21"/>
    </row>
    <row r="41" spans="1:27" ht="20.100000000000001" customHeight="1" x14ac:dyDescent="0.25">
      <c r="A41" s="34">
        <v>42945</v>
      </c>
      <c r="B41" s="35" t="s">
        <v>89</v>
      </c>
      <c r="C41" s="36">
        <v>0.42299999999999999</v>
      </c>
      <c r="D41" s="37">
        <v>0</v>
      </c>
      <c r="E41" s="37" t="s">
        <v>201</v>
      </c>
      <c r="F41" s="34"/>
      <c r="G41" s="11">
        <v>95</v>
      </c>
      <c r="H41" s="11">
        <v>0</v>
      </c>
      <c r="I41" s="11">
        <v>5</v>
      </c>
      <c r="K41" s="31">
        <v>2753</v>
      </c>
      <c r="L41" s="9">
        <f t="shared" si="1"/>
        <v>0.76472222222222219</v>
      </c>
      <c r="N41" s="11">
        <v>1</v>
      </c>
      <c r="O41" s="11">
        <v>30</v>
      </c>
      <c r="P41" s="9">
        <f t="shared" si="2"/>
        <v>1.5</v>
      </c>
      <c r="Q41" s="9">
        <f t="shared" si="5"/>
        <v>0.93599999999999994</v>
      </c>
      <c r="R41" s="9">
        <f t="shared" si="3"/>
        <v>0.93599999999999994</v>
      </c>
      <c r="S41" s="21">
        <v>95</v>
      </c>
      <c r="T41" s="9">
        <v>0.93599999999999994</v>
      </c>
      <c r="U41" s="9">
        <v>0.76472222222222219</v>
      </c>
      <c r="V41" s="9">
        <f t="shared" si="0"/>
        <v>0</v>
      </c>
      <c r="W41" s="9">
        <f t="shared" si="4"/>
        <v>4.6800000000000001E-2</v>
      </c>
      <c r="X41" s="9">
        <f>SUM(U36:U41)</f>
        <v>3.0930555555555554</v>
      </c>
      <c r="Y41" s="9">
        <f>100*X41/SUM(T36:T41)</f>
        <v>67.002430981779668</v>
      </c>
      <c r="Z41" s="9">
        <f>100*SUM(V36:V41)/SUM(T36:T41)</f>
        <v>29.287313163405297</v>
      </c>
      <c r="AA41" s="9">
        <f>100*SUM(W36:W41)/SUM(T36:T41)</f>
        <v>1.013791609502491</v>
      </c>
    </row>
    <row r="42" spans="1:27" ht="20.100000000000001" customHeight="1" x14ac:dyDescent="0.25">
      <c r="A42" s="43">
        <v>42963</v>
      </c>
      <c r="B42" s="44" t="s">
        <v>90</v>
      </c>
      <c r="C42" s="45">
        <v>0.39300000000000002</v>
      </c>
      <c r="D42" s="46" t="s">
        <v>219</v>
      </c>
      <c r="E42" s="46" t="s">
        <v>216</v>
      </c>
      <c r="F42" s="43" t="s">
        <v>220</v>
      </c>
      <c r="G42" s="47">
        <v>90</v>
      </c>
      <c r="H42" s="47">
        <v>10</v>
      </c>
      <c r="I42" s="47">
        <v>0</v>
      </c>
      <c r="J42" s="48"/>
      <c r="K42" s="49">
        <v>6048</v>
      </c>
      <c r="L42" s="33">
        <f t="shared" si="1"/>
        <v>1.68</v>
      </c>
      <c r="M42" s="48"/>
      <c r="N42" s="47">
        <v>3</v>
      </c>
      <c r="O42" s="47">
        <v>10</v>
      </c>
      <c r="P42" s="33">
        <f t="shared" si="2"/>
        <v>3.1666666666666665</v>
      </c>
      <c r="Q42" s="33">
        <f t="shared" si="5"/>
        <v>1.976</v>
      </c>
      <c r="R42" s="33">
        <f t="shared" si="3"/>
        <v>1.976</v>
      </c>
      <c r="S42" s="50">
        <f>100*L42/Q42</f>
        <v>85.020242914979761</v>
      </c>
      <c r="T42" s="33">
        <v>1.976</v>
      </c>
      <c r="U42" s="33">
        <v>1.68</v>
      </c>
      <c r="V42" s="33">
        <f t="shared" si="0"/>
        <v>0.1976</v>
      </c>
      <c r="W42" s="33">
        <f t="shared" si="4"/>
        <v>0</v>
      </c>
      <c r="X42" s="33"/>
      <c r="Y42" s="33"/>
      <c r="Z42" s="33"/>
      <c r="AA42" s="50"/>
    </row>
    <row r="43" spans="1:27" ht="20.100000000000001" customHeight="1" x14ac:dyDescent="0.25">
      <c r="A43" s="39">
        <v>42964</v>
      </c>
      <c r="B43" s="40" t="s">
        <v>91</v>
      </c>
      <c r="C43" s="41">
        <v>0.27900000000000003</v>
      </c>
      <c r="D43" s="42">
        <v>0</v>
      </c>
      <c r="E43" s="42" t="s">
        <v>201</v>
      </c>
      <c r="F43" s="39"/>
      <c r="G43" s="11">
        <v>100</v>
      </c>
      <c r="H43" s="11">
        <v>0</v>
      </c>
      <c r="I43" s="11">
        <v>0</v>
      </c>
      <c r="K43" s="31">
        <v>4906</v>
      </c>
      <c r="L43" s="9">
        <f t="shared" si="1"/>
        <v>1.3627777777777779</v>
      </c>
      <c r="N43" s="11">
        <v>2</v>
      </c>
      <c r="O43" s="11">
        <v>20</v>
      </c>
      <c r="P43" s="9">
        <f t="shared" si="2"/>
        <v>2.3333333333333335</v>
      </c>
      <c r="Q43" s="9">
        <f t="shared" si="5"/>
        <v>1.4560000000000002</v>
      </c>
      <c r="R43" s="9">
        <f t="shared" si="3"/>
        <v>1.3627777777777779</v>
      </c>
      <c r="S43" s="21">
        <v>100</v>
      </c>
      <c r="T43" s="9">
        <v>1.3627777777777779</v>
      </c>
      <c r="U43" s="9">
        <v>1.3627777777777779</v>
      </c>
      <c r="V43" s="9">
        <f t="shared" si="0"/>
        <v>0</v>
      </c>
      <c r="W43" s="9">
        <f t="shared" si="4"/>
        <v>0</v>
      </c>
      <c r="X43" s="9"/>
      <c r="Y43" s="9"/>
      <c r="Z43" s="9"/>
      <c r="AA43" s="21"/>
    </row>
    <row r="44" spans="1:27" ht="20.100000000000001" customHeight="1" x14ac:dyDescent="0.25">
      <c r="A44" s="39">
        <v>42965</v>
      </c>
      <c r="B44" s="40" t="s">
        <v>92</v>
      </c>
      <c r="C44" s="41">
        <v>0.17699999999999999</v>
      </c>
      <c r="D44" s="42">
        <v>2</v>
      </c>
      <c r="E44" s="42" t="s">
        <v>201</v>
      </c>
      <c r="F44" s="39"/>
      <c r="G44" s="11">
        <v>100</v>
      </c>
      <c r="H44" s="11">
        <v>0</v>
      </c>
      <c r="I44" s="11">
        <v>0</v>
      </c>
      <c r="K44" s="31">
        <v>3420</v>
      </c>
      <c r="L44" s="9">
        <f t="shared" si="1"/>
        <v>0.95</v>
      </c>
      <c r="N44" s="11">
        <v>1</v>
      </c>
      <c r="O44" s="11">
        <v>25</v>
      </c>
      <c r="P44" s="9">
        <f t="shared" si="2"/>
        <v>1.4166666666666667</v>
      </c>
      <c r="Q44" s="9">
        <f t="shared" si="5"/>
        <v>0.88400000000000001</v>
      </c>
      <c r="R44" s="9">
        <f t="shared" si="3"/>
        <v>0.95</v>
      </c>
      <c r="S44" s="21">
        <v>100</v>
      </c>
      <c r="T44" s="9">
        <v>0.95</v>
      </c>
      <c r="U44" s="9">
        <v>0.95</v>
      </c>
      <c r="V44" s="9">
        <f t="shared" si="0"/>
        <v>0</v>
      </c>
      <c r="W44" s="9">
        <f t="shared" si="4"/>
        <v>0</v>
      </c>
      <c r="X44" s="9"/>
      <c r="Y44" s="9"/>
      <c r="Z44" s="9"/>
      <c r="AA44" s="21"/>
    </row>
    <row r="45" spans="1:27" ht="20.100000000000001" customHeight="1" x14ac:dyDescent="0.25">
      <c r="A45" s="34">
        <v>42973</v>
      </c>
      <c r="B45" s="35" t="s">
        <v>93</v>
      </c>
      <c r="C45" s="36">
        <v>0.26100000000000001</v>
      </c>
      <c r="D45" s="37">
        <v>0</v>
      </c>
      <c r="E45" s="37" t="s">
        <v>201</v>
      </c>
      <c r="F45" s="34"/>
      <c r="G45" s="11">
        <v>100</v>
      </c>
      <c r="H45" s="11">
        <v>0</v>
      </c>
      <c r="I45" s="11">
        <v>0</v>
      </c>
      <c r="K45" s="31">
        <v>1865</v>
      </c>
      <c r="L45" s="9">
        <f t="shared" si="1"/>
        <v>0.5180555555555556</v>
      </c>
      <c r="N45" s="11">
        <v>0</v>
      </c>
      <c r="O45" s="11">
        <v>35</v>
      </c>
      <c r="P45" s="9">
        <f t="shared" si="2"/>
        <v>0.58333333333333337</v>
      </c>
      <c r="Q45" s="9">
        <f t="shared" si="5"/>
        <v>0.36400000000000005</v>
      </c>
      <c r="R45" s="9">
        <f t="shared" si="3"/>
        <v>0.5180555555555556</v>
      </c>
      <c r="S45" s="21">
        <v>100</v>
      </c>
      <c r="T45" s="9">
        <v>0.5180555555555556</v>
      </c>
      <c r="U45" s="9">
        <v>0.5180555555555556</v>
      </c>
      <c r="V45" s="9">
        <f t="shared" si="0"/>
        <v>0</v>
      </c>
      <c r="W45" s="9">
        <f t="shared" si="4"/>
        <v>0</v>
      </c>
      <c r="X45" s="9"/>
      <c r="Y45" s="9"/>
      <c r="Z45" s="9"/>
      <c r="AA45" s="21"/>
    </row>
    <row r="46" spans="1:27" ht="20.100000000000001" customHeight="1" x14ac:dyDescent="0.25">
      <c r="A46" s="34">
        <v>42974</v>
      </c>
      <c r="B46" s="35" t="s">
        <v>94</v>
      </c>
      <c r="C46" s="36">
        <v>0.35299999999999998</v>
      </c>
      <c r="D46" s="37" t="s">
        <v>209</v>
      </c>
      <c r="E46" s="37" t="s">
        <v>201</v>
      </c>
      <c r="F46" s="34"/>
      <c r="G46" s="11">
        <v>100</v>
      </c>
      <c r="H46" s="11">
        <v>0</v>
      </c>
      <c r="I46" s="11">
        <v>0</v>
      </c>
      <c r="K46" s="31">
        <v>2649</v>
      </c>
      <c r="L46" s="9">
        <f t="shared" si="1"/>
        <v>0.73583333333333334</v>
      </c>
      <c r="N46" s="11">
        <v>1</v>
      </c>
      <c r="O46" s="11">
        <v>0</v>
      </c>
      <c r="P46" s="9">
        <f t="shared" si="2"/>
        <v>1</v>
      </c>
      <c r="Q46" s="9">
        <f t="shared" si="5"/>
        <v>0.624</v>
      </c>
      <c r="R46" s="9">
        <f t="shared" si="3"/>
        <v>0.73583333333333334</v>
      </c>
      <c r="S46" s="21">
        <v>100</v>
      </c>
      <c r="T46" s="9">
        <v>0.73583333333333334</v>
      </c>
      <c r="U46" s="9">
        <v>0.73583333333333334</v>
      </c>
      <c r="V46" s="9">
        <f t="shared" si="0"/>
        <v>0</v>
      </c>
      <c r="W46" s="9">
        <f t="shared" si="4"/>
        <v>0</v>
      </c>
      <c r="X46" s="9">
        <f>SUM(U42:U46)</f>
        <v>5.2466666666666661</v>
      </c>
      <c r="Y46" s="9">
        <f>100*X46/SUM(T42:T46)</f>
        <v>94.659610295886438</v>
      </c>
      <c r="Z46" s="9">
        <f>100*SUM(V42:V46)/SUM(T42:T46)</f>
        <v>3.5650709646379592</v>
      </c>
      <c r="AA46" s="9">
        <f>100*SUM(W42:W46)/SUM(T42:T46)</f>
        <v>0</v>
      </c>
    </row>
    <row r="47" spans="1:27" ht="20.100000000000001" customHeight="1" x14ac:dyDescent="0.25">
      <c r="A47" s="43">
        <v>42992</v>
      </c>
      <c r="B47" s="44" t="s">
        <v>44</v>
      </c>
      <c r="C47" s="45">
        <v>0.41899999999999998</v>
      </c>
      <c r="D47" s="46" t="s">
        <v>222</v>
      </c>
      <c r="E47" s="46" t="s">
        <v>201</v>
      </c>
      <c r="F47" s="43"/>
      <c r="G47" s="47">
        <v>100</v>
      </c>
      <c r="H47" s="47">
        <v>0</v>
      </c>
      <c r="I47" s="47">
        <v>0</v>
      </c>
      <c r="J47" s="48"/>
      <c r="K47" s="49">
        <v>8174</v>
      </c>
      <c r="L47" s="33">
        <f t="shared" si="1"/>
        <v>2.2705555555555557</v>
      </c>
      <c r="M47" s="48"/>
      <c r="N47" s="47">
        <v>3</v>
      </c>
      <c r="O47" s="47">
        <v>55</v>
      </c>
      <c r="P47" s="33">
        <f t="shared" si="2"/>
        <v>3.9166666666666665</v>
      </c>
      <c r="Q47" s="33">
        <f t="shared" si="5"/>
        <v>2.444</v>
      </c>
      <c r="R47" s="33">
        <f t="shared" si="3"/>
        <v>2.2705555555555557</v>
      </c>
      <c r="S47" s="50">
        <v>100</v>
      </c>
      <c r="T47" s="33">
        <v>2.2705555555555557</v>
      </c>
      <c r="U47" s="33">
        <v>2.2705555555555557</v>
      </c>
      <c r="V47" s="33">
        <f t="shared" si="0"/>
        <v>0</v>
      </c>
      <c r="W47" s="33">
        <f t="shared" si="4"/>
        <v>0</v>
      </c>
      <c r="X47" s="33"/>
      <c r="Y47" s="33"/>
      <c r="Z47" s="33"/>
      <c r="AA47" s="50"/>
    </row>
    <row r="48" spans="1:27" ht="20.100000000000001" customHeight="1" x14ac:dyDescent="0.25">
      <c r="A48" s="39">
        <v>42993</v>
      </c>
      <c r="B48" s="40" t="s">
        <v>95</v>
      </c>
      <c r="C48" s="41">
        <v>0.30399999999999999</v>
      </c>
      <c r="D48" s="42">
        <v>0</v>
      </c>
      <c r="E48" s="53" t="s">
        <v>216</v>
      </c>
      <c r="F48" s="39" t="s">
        <v>224</v>
      </c>
      <c r="G48" s="11">
        <v>90</v>
      </c>
      <c r="H48" s="11">
        <v>0</v>
      </c>
      <c r="I48" s="11">
        <v>10</v>
      </c>
      <c r="K48" s="31">
        <v>6718</v>
      </c>
      <c r="L48" s="9">
        <f t="shared" si="1"/>
        <v>1.8661111111111111</v>
      </c>
      <c r="N48" s="11">
        <v>3</v>
      </c>
      <c r="O48" s="11">
        <v>0</v>
      </c>
      <c r="P48" s="9">
        <f t="shared" si="2"/>
        <v>3</v>
      </c>
      <c r="Q48" s="9">
        <f t="shared" si="5"/>
        <v>1.8719999999999999</v>
      </c>
      <c r="R48" s="9">
        <f t="shared" si="3"/>
        <v>1.8719999999999999</v>
      </c>
      <c r="S48" s="21">
        <v>90</v>
      </c>
      <c r="T48" s="9">
        <v>1.8719999999999999</v>
      </c>
      <c r="U48" s="9">
        <v>1.8661111111111111</v>
      </c>
      <c r="V48" s="9">
        <f t="shared" si="0"/>
        <v>0</v>
      </c>
      <c r="W48" s="9">
        <f t="shared" si="4"/>
        <v>0.18720000000000001</v>
      </c>
      <c r="X48" s="9"/>
      <c r="Y48" s="9"/>
      <c r="Z48" s="9"/>
      <c r="AA48" s="21"/>
    </row>
    <row r="49" spans="1:27" ht="20.100000000000001" customHeight="1" x14ac:dyDescent="0.25">
      <c r="A49" s="39">
        <v>42994</v>
      </c>
      <c r="B49" s="40" t="s">
        <v>43</v>
      </c>
      <c r="C49" s="41">
        <v>0.2</v>
      </c>
      <c r="D49" s="42" t="s">
        <v>222</v>
      </c>
      <c r="E49" s="42" t="s">
        <v>201</v>
      </c>
      <c r="F49" s="39"/>
      <c r="G49" s="11">
        <v>100</v>
      </c>
      <c r="H49" s="11">
        <v>0</v>
      </c>
      <c r="I49" s="11">
        <v>0</v>
      </c>
      <c r="K49" s="31">
        <v>3972</v>
      </c>
      <c r="L49" s="9">
        <f t="shared" si="1"/>
        <v>1.1033333333333333</v>
      </c>
      <c r="N49" s="11">
        <v>1</v>
      </c>
      <c r="O49" s="11">
        <v>55</v>
      </c>
      <c r="P49" s="9">
        <f t="shared" si="2"/>
        <v>1.9166666666666665</v>
      </c>
      <c r="Q49" s="9">
        <f t="shared" si="5"/>
        <v>1.196</v>
      </c>
      <c r="R49" s="9">
        <f t="shared" si="3"/>
        <v>1.1033333333333333</v>
      </c>
      <c r="S49" s="21">
        <v>100</v>
      </c>
      <c r="T49" s="9">
        <v>1.1033333333333333</v>
      </c>
      <c r="U49" s="9">
        <v>1.1033333333333333</v>
      </c>
      <c r="V49" s="9">
        <f t="shared" si="0"/>
        <v>0</v>
      </c>
      <c r="W49" s="9">
        <f t="shared" si="4"/>
        <v>0</v>
      </c>
      <c r="X49" s="9"/>
      <c r="Y49" s="9"/>
      <c r="Z49" s="9"/>
      <c r="AA49" s="21"/>
    </row>
    <row r="50" spans="1:27" ht="20.100000000000001" customHeight="1" x14ac:dyDescent="0.25">
      <c r="A50" s="39">
        <v>42995</v>
      </c>
      <c r="B50" s="40" t="s">
        <v>96</v>
      </c>
      <c r="C50" s="41">
        <v>0.115</v>
      </c>
      <c r="D50" s="42">
        <v>0</v>
      </c>
      <c r="E50" s="42" t="s">
        <v>201</v>
      </c>
      <c r="F50" s="39"/>
      <c r="G50" s="11">
        <v>100</v>
      </c>
      <c r="H50" s="11">
        <v>0</v>
      </c>
      <c r="I50" s="11">
        <v>0</v>
      </c>
      <c r="K50" s="31">
        <v>2239</v>
      </c>
      <c r="L50" s="9">
        <f t="shared" si="1"/>
        <v>0.62194444444444441</v>
      </c>
      <c r="N50" s="11">
        <v>0</v>
      </c>
      <c r="O50" s="11">
        <v>55</v>
      </c>
      <c r="P50" s="9">
        <f t="shared" si="2"/>
        <v>0.91666666666666663</v>
      </c>
      <c r="Q50" s="9">
        <f t="shared" si="5"/>
        <v>0.57199999999999995</v>
      </c>
      <c r="R50" s="9">
        <f t="shared" si="3"/>
        <v>0.62194444444444441</v>
      </c>
      <c r="S50" s="21">
        <v>100</v>
      </c>
      <c r="T50" s="9">
        <v>0.62194444444444441</v>
      </c>
      <c r="U50" s="9">
        <v>0.62194444444444441</v>
      </c>
      <c r="V50" s="9">
        <f t="shared" si="0"/>
        <v>0</v>
      </c>
      <c r="W50" s="9">
        <f t="shared" si="4"/>
        <v>0</v>
      </c>
      <c r="X50" s="9"/>
      <c r="Y50" s="9"/>
      <c r="Z50" s="9"/>
      <c r="AA50" s="21"/>
    </row>
    <row r="51" spans="1:27" ht="20.100000000000001" customHeight="1" x14ac:dyDescent="0.25">
      <c r="A51" s="34">
        <v>43003</v>
      </c>
      <c r="B51" s="35" t="s">
        <v>97</v>
      </c>
      <c r="C51" s="36">
        <v>0.28199999999999997</v>
      </c>
      <c r="D51" s="37">
        <v>0</v>
      </c>
      <c r="E51" s="37" t="s">
        <v>225</v>
      </c>
      <c r="F51" s="34"/>
      <c r="G51" s="11">
        <v>0</v>
      </c>
      <c r="H51" s="11">
        <v>100</v>
      </c>
      <c r="I51" s="11">
        <v>0</v>
      </c>
      <c r="K51" s="31"/>
      <c r="L51" s="9">
        <f t="shared" si="1"/>
        <v>0</v>
      </c>
      <c r="N51" s="11">
        <v>0</v>
      </c>
      <c r="O51" s="11">
        <v>45</v>
      </c>
      <c r="P51" s="9">
        <f t="shared" si="2"/>
        <v>0.75</v>
      </c>
      <c r="Q51" s="9">
        <f t="shared" si="5"/>
        <v>0.46799999999999997</v>
      </c>
      <c r="R51" s="9">
        <f t="shared" si="3"/>
        <v>0.46799999999999997</v>
      </c>
      <c r="S51" s="21">
        <f>100*L51/Q51</f>
        <v>0</v>
      </c>
      <c r="T51" s="9">
        <v>0.46799999999999997</v>
      </c>
      <c r="U51" s="9">
        <v>0</v>
      </c>
      <c r="V51" s="9">
        <f t="shared" si="0"/>
        <v>0.46799999999999997</v>
      </c>
      <c r="W51" s="9">
        <f t="shared" si="4"/>
        <v>0</v>
      </c>
      <c r="X51" s="9"/>
      <c r="Y51" s="9"/>
      <c r="Z51" s="9"/>
      <c r="AA51" s="21"/>
    </row>
    <row r="52" spans="1:27" ht="20.100000000000001" customHeight="1" x14ac:dyDescent="0.25">
      <c r="A52" s="34">
        <v>43004</v>
      </c>
      <c r="B52" s="35" t="s">
        <v>98</v>
      </c>
      <c r="C52" s="36">
        <v>0.373</v>
      </c>
      <c r="D52" s="37">
        <v>0</v>
      </c>
      <c r="E52" s="37" t="s">
        <v>225</v>
      </c>
      <c r="F52" s="34"/>
      <c r="G52" s="11">
        <v>0</v>
      </c>
      <c r="H52" s="11">
        <v>100</v>
      </c>
      <c r="I52" s="11">
        <v>0</v>
      </c>
      <c r="K52" s="31"/>
      <c r="L52" s="9">
        <f t="shared" si="1"/>
        <v>0</v>
      </c>
      <c r="N52" s="11">
        <v>1</v>
      </c>
      <c r="O52" s="11">
        <v>20</v>
      </c>
      <c r="P52" s="9">
        <f t="shared" si="2"/>
        <v>1.3333333333333333</v>
      </c>
      <c r="Q52" s="9">
        <f t="shared" si="5"/>
        <v>0.83199999999999996</v>
      </c>
      <c r="R52" s="9">
        <f t="shared" si="3"/>
        <v>0.83199999999999996</v>
      </c>
      <c r="S52" s="21">
        <f>100*L52/Q52</f>
        <v>0</v>
      </c>
      <c r="T52" s="9">
        <v>0.83199999999999996</v>
      </c>
      <c r="U52" s="9">
        <v>0</v>
      </c>
      <c r="V52" s="9">
        <f t="shared" si="0"/>
        <v>0.83199999999999996</v>
      </c>
      <c r="W52" s="9">
        <f t="shared" si="4"/>
        <v>0</v>
      </c>
      <c r="X52" s="9">
        <f>SUM(U47:U52)</f>
        <v>5.8619444444444451</v>
      </c>
      <c r="Y52" s="9">
        <f>100*X52/SUM(T47:T52)</f>
        <v>81.781260414971214</v>
      </c>
      <c r="Z52" s="9">
        <f>100*SUM(V47:V52)/SUM(T47:T52)</f>
        <v>18.136582416815862</v>
      </c>
      <c r="AA52" s="9">
        <f>100*SUM(W47:W52)/SUM(T47:T52)</f>
        <v>2.6116678680214847</v>
      </c>
    </row>
    <row r="53" spans="1:27" ht="20.100000000000001" customHeight="1" x14ac:dyDescent="0.25">
      <c r="A53" s="43">
        <v>43021</v>
      </c>
      <c r="B53" s="44" t="s">
        <v>99</v>
      </c>
      <c r="C53" s="45">
        <v>0.44900000000000001</v>
      </c>
      <c r="D53" s="46" t="s">
        <v>235</v>
      </c>
      <c r="E53" s="46" t="s">
        <v>201</v>
      </c>
      <c r="F53" s="43" t="s">
        <v>263</v>
      </c>
      <c r="G53" s="47">
        <v>80</v>
      </c>
      <c r="H53" s="47">
        <v>0</v>
      </c>
      <c r="I53" s="47">
        <v>20</v>
      </c>
      <c r="J53" s="48"/>
      <c r="K53" s="49">
        <v>7651</v>
      </c>
      <c r="L53" s="33">
        <f t="shared" si="1"/>
        <v>2.1252777777777778</v>
      </c>
      <c r="M53" s="48"/>
      <c r="N53" s="47">
        <v>4</v>
      </c>
      <c r="O53" s="47">
        <v>30</v>
      </c>
      <c r="P53" s="33">
        <f t="shared" si="2"/>
        <v>4.5</v>
      </c>
      <c r="Q53" s="33">
        <f t="shared" si="5"/>
        <v>2.8079999999999998</v>
      </c>
      <c r="R53" s="33">
        <f t="shared" si="3"/>
        <v>2.8079999999999998</v>
      </c>
      <c r="S53" s="50">
        <f>100*L53/Q53</f>
        <v>75.686530547641667</v>
      </c>
      <c r="T53" s="33">
        <v>2.8079999999999998</v>
      </c>
      <c r="U53" s="33">
        <v>2.1252777777777778</v>
      </c>
      <c r="V53" s="33">
        <f t="shared" si="0"/>
        <v>0</v>
      </c>
      <c r="W53" s="33">
        <f t="shared" si="4"/>
        <v>0.56159999999999999</v>
      </c>
      <c r="X53" s="33"/>
      <c r="Y53" s="33"/>
      <c r="Z53" s="33"/>
      <c r="AA53" s="50"/>
    </row>
    <row r="54" spans="1:27" ht="20.100000000000001" customHeight="1" x14ac:dyDescent="0.25">
      <c r="A54" s="39">
        <v>43022</v>
      </c>
      <c r="B54" s="40" t="s">
        <v>26</v>
      </c>
      <c r="C54" s="41">
        <v>0.33400000000000002</v>
      </c>
      <c r="D54" s="42">
        <v>0</v>
      </c>
      <c r="E54" s="42" t="s">
        <v>201</v>
      </c>
      <c r="F54" s="39"/>
      <c r="G54" s="11">
        <v>100</v>
      </c>
      <c r="H54" s="11">
        <v>0</v>
      </c>
      <c r="I54" s="11">
        <v>0</v>
      </c>
      <c r="K54" s="31">
        <v>7398</v>
      </c>
      <c r="L54" s="9">
        <f t="shared" si="1"/>
        <v>2.0550000000000002</v>
      </c>
      <c r="N54" s="11">
        <v>3</v>
      </c>
      <c r="O54" s="11">
        <v>25</v>
      </c>
      <c r="P54" s="9">
        <f t="shared" si="2"/>
        <v>3.4166666666666665</v>
      </c>
      <c r="Q54" s="9">
        <f t="shared" si="5"/>
        <v>2.1320000000000001</v>
      </c>
      <c r="R54" s="9">
        <f t="shared" si="3"/>
        <v>2.0550000000000002</v>
      </c>
      <c r="S54" s="21">
        <v>100</v>
      </c>
      <c r="T54" s="9">
        <v>2.0550000000000002</v>
      </c>
      <c r="U54" s="9">
        <v>2.0550000000000002</v>
      </c>
      <c r="V54" s="9">
        <f t="shared" si="0"/>
        <v>0</v>
      </c>
      <c r="W54" s="9">
        <f t="shared" si="4"/>
        <v>0</v>
      </c>
      <c r="X54" s="9"/>
      <c r="Y54" s="9"/>
      <c r="Z54" s="9"/>
      <c r="AA54" s="21"/>
    </row>
    <row r="55" spans="1:27" ht="20.100000000000001" customHeight="1" x14ac:dyDescent="0.25">
      <c r="A55" s="39">
        <v>43023</v>
      </c>
      <c r="B55" s="40" t="s">
        <v>100</v>
      </c>
      <c r="C55" s="41">
        <v>0.23</v>
      </c>
      <c r="D55" s="42">
        <v>0</v>
      </c>
      <c r="E55" s="42" t="s">
        <v>227</v>
      </c>
      <c r="F55" s="39" t="s">
        <v>228</v>
      </c>
      <c r="G55" s="11">
        <v>50</v>
      </c>
      <c r="H55" s="11">
        <v>50</v>
      </c>
      <c r="I55" s="11">
        <v>0</v>
      </c>
      <c r="K55" s="31">
        <v>2600</v>
      </c>
      <c r="L55" s="9">
        <f t="shared" si="1"/>
        <v>0.72222222222222221</v>
      </c>
      <c r="N55" s="11">
        <v>2</v>
      </c>
      <c r="O55" s="11">
        <v>25</v>
      </c>
      <c r="P55" s="9">
        <f t="shared" si="2"/>
        <v>2.4166666666666665</v>
      </c>
      <c r="Q55" s="9">
        <f t="shared" si="5"/>
        <v>1.508</v>
      </c>
      <c r="R55" s="9">
        <f t="shared" si="3"/>
        <v>1.508</v>
      </c>
      <c r="S55" s="21">
        <f t="shared" ref="S55:S61" si="8">100*L55/Q55</f>
        <v>47.892720306513404</v>
      </c>
      <c r="T55" s="9">
        <v>1.508</v>
      </c>
      <c r="U55" s="9">
        <v>0.72222222222222221</v>
      </c>
      <c r="V55" s="9">
        <f t="shared" si="0"/>
        <v>0.754</v>
      </c>
      <c r="W55" s="9">
        <f t="shared" si="4"/>
        <v>0</v>
      </c>
      <c r="X55" s="9"/>
      <c r="Y55" s="9"/>
      <c r="Z55" s="9"/>
      <c r="AA55" s="21"/>
    </row>
    <row r="56" spans="1:27" ht="20.100000000000001" customHeight="1" x14ac:dyDescent="0.25">
      <c r="A56" s="39">
        <v>43024</v>
      </c>
      <c r="B56" s="40" t="s">
        <v>101</v>
      </c>
      <c r="C56" s="41">
        <v>0.14199999999999999</v>
      </c>
      <c r="D56" s="42" t="s">
        <v>222</v>
      </c>
      <c r="E56" s="42" t="s">
        <v>201</v>
      </c>
      <c r="F56" s="39" t="s">
        <v>229</v>
      </c>
      <c r="G56" s="11">
        <v>65</v>
      </c>
      <c r="H56" s="11">
        <v>0</v>
      </c>
      <c r="I56" s="11">
        <v>35</v>
      </c>
      <c r="K56" s="31">
        <v>2238</v>
      </c>
      <c r="L56" s="9">
        <f t="shared" si="1"/>
        <v>0.6216666666666667</v>
      </c>
      <c r="N56" s="11">
        <v>1</v>
      </c>
      <c r="O56" s="11">
        <v>20</v>
      </c>
      <c r="P56" s="9">
        <f t="shared" si="2"/>
        <v>1.3333333333333333</v>
      </c>
      <c r="Q56" s="9">
        <f t="shared" si="5"/>
        <v>0.83199999999999996</v>
      </c>
      <c r="R56" s="9">
        <f t="shared" si="3"/>
        <v>0.83199999999999996</v>
      </c>
      <c r="S56" s="21">
        <f t="shared" si="8"/>
        <v>74.719551282051285</v>
      </c>
      <c r="T56" s="9">
        <v>0.83199999999999996</v>
      </c>
      <c r="U56" s="9">
        <v>0.6216666666666667</v>
      </c>
      <c r="V56" s="9">
        <f t="shared" si="0"/>
        <v>0</v>
      </c>
      <c r="W56" s="9">
        <f t="shared" si="4"/>
        <v>0.29119999999999996</v>
      </c>
      <c r="X56" s="9"/>
      <c r="Y56" s="9"/>
      <c r="Z56" s="9"/>
      <c r="AA56" s="21"/>
    </row>
    <row r="57" spans="1:27" ht="20.100000000000001" customHeight="1" x14ac:dyDescent="0.25">
      <c r="A57" s="34">
        <v>43032</v>
      </c>
      <c r="B57" s="35" t="s">
        <v>102</v>
      </c>
      <c r="C57" s="36">
        <v>0.21299999999999999</v>
      </c>
      <c r="D57" s="37" t="s">
        <v>230</v>
      </c>
      <c r="E57" s="37" t="s">
        <v>231</v>
      </c>
      <c r="F57" s="34" t="s">
        <v>232</v>
      </c>
      <c r="G57" s="11">
        <v>30</v>
      </c>
      <c r="H57" s="11">
        <v>70</v>
      </c>
      <c r="I57" s="11">
        <v>0</v>
      </c>
      <c r="K57" s="31">
        <v>402</v>
      </c>
      <c r="L57" s="9">
        <f t="shared" si="1"/>
        <v>0.11166666666666666</v>
      </c>
      <c r="N57" s="11">
        <v>0</v>
      </c>
      <c r="O57" s="11">
        <v>40</v>
      </c>
      <c r="P57" s="9">
        <f t="shared" si="2"/>
        <v>0.66666666666666663</v>
      </c>
      <c r="Q57" s="9">
        <f t="shared" si="5"/>
        <v>0.41599999999999998</v>
      </c>
      <c r="R57" s="9">
        <f t="shared" si="3"/>
        <v>0.41599999999999998</v>
      </c>
      <c r="S57" s="21">
        <f t="shared" si="8"/>
        <v>26.842948717948719</v>
      </c>
      <c r="T57" s="9">
        <v>0.41599999999999998</v>
      </c>
      <c r="U57" s="9">
        <v>0.11166666666666666</v>
      </c>
      <c r="V57" s="9">
        <f t="shared" si="0"/>
        <v>0.29119999999999996</v>
      </c>
      <c r="W57" s="9">
        <f t="shared" si="4"/>
        <v>0</v>
      </c>
      <c r="X57" s="9"/>
      <c r="Y57" s="9"/>
      <c r="Z57" s="9"/>
      <c r="AA57" s="21"/>
    </row>
    <row r="58" spans="1:27" ht="20.100000000000001" customHeight="1" x14ac:dyDescent="0.25">
      <c r="A58" s="34">
        <v>43033</v>
      </c>
      <c r="B58" s="35" t="s">
        <v>103</v>
      </c>
      <c r="C58" s="36">
        <v>0.29699999999999999</v>
      </c>
      <c r="D58" s="37" t="s">
        <v>230</v>
      </c>
      <c r="E58" s="37" t="s">
        <v>13</v>
      </c>
      <c r="F58" s="34"/>
      <c r="G58" s="11">
        <v>0</v>
      </c>
      <c r="H58" s="11">
        <v>100</v>
      </c>
      <c r="I58" s="11">
        <v>0</v>
      </c>
      <c r="K58" s="31"/>
      <c r="L58" s="9">
        <f t="shared" si="1"/>
        <v>0</v>
      </c>
      <c r="N58" s="11">
        <v>1</v>
      </c>
      <c r="O58" s="11">
        <v>25</v>
      </c>
      <c r="P58" s="9">
        <f t="shared" si="2"/>
        <v>1.4166666666666667</v>
      </c>
      <c r="Q58" s="9">
        <f t="shared" si="5"/>
        <v>0.88400000000000001</v>
      </c>
      <c r="R58" s="9">
        <f t="shared" si="3"/>
        <v>0.88400000000000001</v>
      </c>
      <c r="S58" s="21">
        <f t="shared" si="8"/>
        <v>0</v>
      </c>
      <c r="T58" s="9">
        <v>0.88400000000000001</v>
      </c>
      <c r="U58" s="9">
        <v>0</v>
      </c>
      <c r="V58" s="9">
        <f t="shared" si="0"/>
        <v>0.88400000000000001</v>
      </c>
      <c r="W58" s="9">
        <f t="shared" si="4"/>
        <v>0</v>
      </c>
      <c r="X58" s="9"/>
      <c r="Y58" s="9"/>
      <c r="Z58" s="9"/>
      <c r="AA58" s="21"/>
    </row>
    <row r="59" spans="1:27" ht="20.100000000000001" customHeight="1" x14ac:dyDescent="0.25">
      <c r="A59" s="34">
        <v>43034</v>
      </c>
      <c r="B59" s="35" t="s">
        <v>104</v>
      </c>
      <c r="C59" s="36">
        <v>0.39</v>
      </c>
      <c r="D59" s="37" t="s">
        <v>222</v>
      </c>
      <c r="E59" s="37" t="s">
        <v>233</v>
      </c>
      <c r="F59" s="34" t="s">
        <v>234</v>
      </c>
      <c r="G59" s="11">
        <v>50</v>
      </c>
      <c r="H59" s="11">
        <v>50</v>
      </c>
      <c r="I59" s="11">
        <v>0</v>
      </c>
      <c r="K59" s="31">
        <v>2509</v>
      </c>
      <c r="L59" s="9">
        <f t="shared" si="1"/>
        <v>0.69694444444444448</v>
      </c>
      <c r="N59" s="11">
        <v>2</v>
      </c>
      <c r="O59" s="11">
        <v>15</v>
      </c>
      <c r="P59" s="9">
        <f t="shared" si="2"/>
        <v>2.25</v>
      </c>
      <c r="Q59" s="9">
        <f t="shared" si="5"/>
        <v>1.4039999999999999</v>
      </c>
      <c r="R59" s="9">
        <f t="shared" si="3"/>
        <v>1.4039999999999999</v>
      </c>
      <c r="S59" s="21">
        <f t="shared" si="8"/>
        <v>49.639917695473251</v>
      </c>
      <c r="T59" s="9">
        <v>1.4039999999999999</v>
      </c>
      <c r="U59" s="9">
        <v>0.69694444444444448</v>
      </c>
      <c r="V59" s="9">
        <f t="shared" si="0"/>
        <v>0.70199999999999996</v>
      </c>
      <c r="W59" s="9">
        <f t="shared" si="4"/>
        <v>0</v>
      </c>
      <c r="X59" s="9">
        <f>SUM(U53:U59)</f>
        <v>6.3327777777777783</v>
      </c>
      <c r="Y59" s="9">
        <f>100*X59/SUM(T53:T59)</f>
        <v>63.922254746924175</v>
      </c>
      <c r="Z59" s="9">
        <f>100*SUM(V53:V59)/SUM(T53:T59)</f>
        <v>26.558998687796507</v>
      </c>
      <c r="AA59" s="9">
        <f>100*SUM(W53:W59)/SUM(T53:T59)</f>
        <v>8.6080549106692246</v>
      </c>
    </row>
    <row r="60" spans="1:27" ht="20.100000000000001" customHeight="1" x14ac:dyDescent="0.25">
      <c r="A60" s="43">
        <v>43051</v>
      </c>
      <c r="B60" s="44" t="s">
        <v>105</v>
      </c>
      <c r="C60" s="45">
        <v>0.374</v>
      </c>
      <c r="D60" s="46" t="s">
        <v>230</v>
      </c>
      <c r="E60" s="46" t="s">
        <v>13</v>
      </c>
      <c r="F60" s="43"/>
      <c r="G60" s="47">
        <v>0</v>
      </c>
      <c r="H60" s="47">
        <v>100</v>
      </c>
      <c r="I60" s="47">
        <v>0</v>
      </c>
      <c r="J60" s="48"/>
      <c r="K60" s="49"/>
      <c r="L60" s="33">
        <f t="shared" si="1"/>
        <v>0</v>
      </c>
      <c r="M60" s="48"/>
      <c r="N60" s="47">
        <v>3</v>
      </c>
      <c r="O60" s="47">
        <v>55</v>
      </c>
      <c r="P60" s="33">
        <f t="shared" si="2"/>
        <v>3.9166666666666665</v>
      </c>
      <c r="Q60" s="33">
        <f t="shared" si="5"/>
        <v>2.444</v>
      </c>
      <c r="R60" s="33">
        <f t="shared" si="3"/>
        <v>2.444</v>
      </c>
      <c r="S60" s="50">
        <f t="shared" si="8"/>
        <v>0</v>
      </c>
      <c r="T60" s="33">
        <v>2.444</v>
      </c>
      <c r="U60" s="33">
        <v>0</v>
      </c>
      <c r="V60" s="33">
        <f t="shared" si="0"/>
        <v>2.444</v>
      </c>
      <c r="W60" s="33">
        <f t="shared" si="4"/>
        <v>0</v>
      </c>
      <c r="X60" s="33"/>
      <c r="Y60" s="33"/>
      <c r="Z60" s="33"/>
      <c r="AA60" s="50"/>
    </row>
    <row r="61" spans="1:27" ht="20.100000000000001" customHeight="1" x14ac:dyDescent="0.25">
      <c r="A61" s="39">
        <v>43052</v>
      </c>
      <c r="B61" s="40" t="s">
        <v>106</v>
      </c>
      <c r="C61" s="41">
        <v>0.27</v>
      </c>
      <c r="D61" s="42" t="s">
        <v>230</v>
      </c>
      <c r="E61" s="42" t="s">
        <v>13</v>
      </c>
      <c r="F61" s="39"/>
      <c r="G61" s="11">
        <v>0</v>
      </c>
      <c r="H61" s="11">
        <v>100</v>
      </c>
      <c r="I61" s="11">
        <v>0</v>
      </c>
      <c r="K61" s="31"/>
      <c r="L61" s="9">
        <f t="shared" si="1"/>
        <v>0</v>
      </c>
      <c r="N61" s="11">
        <v>2</v>
      </c>
      <c r="O61" s="11">
        <v>55</v>
      </c>
      <c r="P61" s="9">
        <f t="shared" si="2"/>
        <v>2.9166666666666665</v>
      </c>
      <c r="Q61" s="9">
        <f t="shared" si="5"/>
        <v>1.8199999999999998</v>
      </c>
      <c r="R61" s="9">
        <f t="shared" si="3"/>
        <v>1.8199999999999998</v>
      </c>
      <c r="S61" s="21">
        <f t="shared" si="8"/>
        <v>0</v>
      </c>
      <c r="T61" s="9">
        <v>1.8199999999999998</v>
      </c>
      <c r="U61" s="9">
        <v>0</v>
      </c>
      <c r="V61" s="9">
        <f t="shared" si="0"/>
        <v>1.8199999999999998</v>
      </c>
      <c r="W61" s="9">
        <f t="shared" si="4"/>
        <v>0</v>
      </c>
      <c r="X61" s="9"/>
      <c r="Y61" s="9"/>
      <c r="Z61" s="9"/>
      <c r="AA61" s="21"/>
    </row>
    <row r="62" spans="1:27" ht="20.100000000000001" customHeight="1" x14ac:dyDescent="0.25">
      <c r="A62" s="39">
        <v>43053</v>
      </c>
      <c r="B62" s="40" t="s">
        <v>107</v>
      </c>
      <c r="C62" s="41">
        <v>0.18</v>
      </c>
      <c r="D62" s="42" t="s">
        <v>222</v>
      </c>
      <c r="E62" s="42" t="s">
        <v>199</v>
      </c>
      <c r="F62" s="39" t="s">
        <v>237</v>
      </c>
      <c r="G62" s="11">
        <v>75</v>
      </c>
      <c r="H62" s="11">
        <v>25</v>
      </c>
      <c r="I62" s="11">
        <v>0</v>
      </c>
      <c r="J62" s="10"/>
      <c r="K62" s="31">
        <v>4100</v>
      </c>
      <c r="L62" s="9">
        <f t="shared" si="1"/>
        <v>1.1388888888888888</v>
      </c>
      <c r="N62" s="11">
        <v>1</v>
      </c>
      <c r="O62" s="11">
        <v>50</v>
      </c>
      <c r="P62" s="9">
        <f t="shared" si="2"/>
        <v>1.8333333333333335</v>
      </c>
      <c r="Q62" s="9">
        <f t="shared" si="5"/>
        <v>1.1440000000000001</v>
      </c>
      <c r="R62" s="9">
        <f t="shared" si="3"/>
        <v>1.1440000000000001</v>
      </c>
      <c r="S62" s="21">
        <v>75</v>
      </c>
      <c r="T62" s="9">
        <v>1.1440000000000001</v>
      </c>
      <c r="U62" s="9">
        <v>1.1388888888888888</v>
      </c>
      <c r="V62" s="9">
        <f t="shared" si="0"/>
        <v>0.28600000000000003</v>
      </c>
      <c r="W62" s="9">
        <f t="shared" si="4"/>
        <v>0</v>
      </c>
      <c r="X62" s="9"/>
      <c r="Y62" s="9"/>
      <c r="Z62" s="9"/>
      <c r="AA62" s="21"/>
    </row>
    <row r="63" spans="1:27" ht="20.100000000000001" customHeight="1" x14ac:dyDescent="0.25">
      <c r="A63" s="39">
        <v>43054</v>
      </c>
      <c r="B63" s="40" t="s">
        <v>108</v>
      </c>
      <c r="C63" s="41">
        <v>0.107</v>
      </c>
      <c r="D63" s="42" t="s">
        <v>230</v>
      </c>
      <c r="E63" s="42" t="s">
        <v>17</v>
      </c>
      <c r="F63" s="39"/>
      <c r="G63" s="11">
        <v>0</v>
      </c>
      <c r="H63" s="11">
        <v>100</v>
      </c>
      <c r="I63" s="11">
        <v>0</v>
      </c>
      <c r="K63" s="31"/>
      <c r="L63" s="9">
        <f t="shared" si="1"/>
        <v>0</v>
      </c>
      <c r="N63" s="11">
        <v>0</v>
      </c>
      <c r="O63" s="11">
        <v>50</v>
      </c>
      <c r="P63" s="9">
        <f t="shared" si="2"/>
        <v>0.83333333333333337</v>
      </c>
      <c r="Q63" s="9">
        <f t="shared" si="5"/>
        <v>0.52</v>
      </c>
      <c r="R63" s="9">
        <f t="shared" si="3"/>
        <v>0.52</v>
      </c>
      <c r="S63" s="21">
        <f>100*L63/Q63</f>
        <v>0</v>
      </c>
      <c r="T63" s="9">
        <v>0.52</v>
      </c>
      <c r="U63" s="9">
        <v>0</v>
      </c>
      <c r="V63" s="9">
        <f t="shared" si="0"/>
        <v>0.52</v>
      </c>
      <c r="W63" s="9">
        <f t="shared" si="4"/>
        <v>0</v>
      </c>
      <c r="X63" s="9"/>
      <c r="Y63" s="9"/>
      <c r="Z63" s="9"/>
      <c r="AA63" s="21"/>
    </row>
    <row r="64" spans="1:27" ht="20.100000000000001" customHeight="1" x14ac:dyDescent="0.25">
      <c r="A64" s="34">
        <v>43061</v>
      </c>
      <c r="B64" s="35" t="s">
        <v>109</v>
      </c>
      <c r="C64" s="36">
        <v>0.151</v>
      </c>
      <c r="D64" s="37" t="s">
        <v>230</v>
      </c>
      <c r="E64" s="37" t="s">
        <v>198</v>
      </c>
      <c r="F64" s="34" t="s">
        <v>238</v>
      </c>
      <c r="G64" s="11">
        <v>50</v>
      </c>
      <c r="H64" s="11">
        <v>50</v>
      </c>
      <c r="I64" s="11">
        <v>0</v>
      </c>
      <c r="K64" s="31">
        <v>1208</v>
      </c>
      <c r="L64" s="9">
        <f t="shared" si="1"/>
        <v>0.33555555555555555</v>
      </c>
      <c r="N64" s="11">
        <v>0</v>
      </c>
      <c r="O64" s="11">
        <v>35</v>
      </c>
      <c r="P64" s="9">
        <f t="shared" si="2"/>
        <v>0.58333333333333337</v>
      </c>
      <c r="Q64" s="9">
        <f t="shared" si="5"/>
        <v>0.36400000000000005</v>
      </c>
      <c r="R64" s="9">
        <f t="shared" si="3"/>
        <v>0.36400000000000005</v>
      </c>
      <c r="S64" s="21">
        <v>50</v>
      </c>
      <c r="T64" s="9">
        <v>0.36400000000000005</v>
      </c>
      <c r="U64" s="9">
        <v>0.33555555555555555</v>
      </c>
      <c r="V64" s="9">
        <f t="shared" si="0"/>
        <v>0.18200000000000002</v>
      </c>
      <c r="W64" s="9">
        <f t="shared" si="4"/>
        <v>0</v>
      </c>
      <c r="X64" s="9"/>
      <c r="Y64" s="9"/>
      <c r="Z64" s="9"/>
      <c r="AA64" s="21"/>
    </row>
    <row r="65" spans="1:27" ht="20.100000000000001" customHeight="1" x14ac:dyDescent="0.25">
      <c r="A65" s="34">
        <v>43062</v>
      </c>
      <c r="B65" s="35" t="s">
        <v>110</v>
      </c>
      <c r="C65" s="36">
        <v>0.22700000000000001</v>
      </c>
      <c r="D65" s="37" t="s">
        <v>222</v>
      </c>
      <c r="E65" s="37" t="s">
        <v>216</v>
      </c>
      <c r="F65" s="34"/>
      <c r="G65" s="11">
        <v>100</v>
      </c>
      <c r="H65" s="11">
        <v>0</v>
      </c>
      <c r="I65" s="11">
        <v>0</v>
      </c>
      <c r="K65" s="31">
        <v>3652</v>
      </c>
      <c r="L65" s="9">
        <f t="shared" si="1"/>
        <v>1.0144444444444445</v>
      </c>
      <c r="N65" s="11">
        <v>1</v>
      </c>
      <c r="O65" s="11">
        <v>25</v>
      </c>
      <c r="P65" s="9">
        <f t="shared" si="2"/>
        <v>1.4166666666666667</v>
      </c>
      <c r="Q65" s="9">
        <f t="shared" si="5"/>
        <v>0.88400000000000001</v>
      </c>
      <c r="R65" s="9">
        <f t="shared" si="3"/>
        <v>1.0144444444444445</v>
      </c>
      <c r="S65" s="21">
        <v>100</v>
      </c>
      <c r="T65" s="9">
        <v>1.0144444444444445</v>
      </c>
      <c r="U65" s="9">
        <v>1.0144444444444445</v>
      </c>
      <c r="V65" s="9">
        <f t="shared" si="0"/>
        <v>0</v>
      </c>
      <c r="W65" s="9">
        <f t="shared" si="4"/>
        <v>0</v>
      </c>
      <c r="X65" s="9"/>
      <c r="Y65" s="9"/>
      <c r="Z65" s="9"/>
      <c r="AA65" s="21"/>
    </row>
    <row r="66" spans="1:27" ht="20.100000000000001" customHeight="1" x14ac:dyDescent="0.25">
      <c r="A66" s="34">
        <v>43063</v>
      </c>
      <c r="B66" s="35" t="s">
        <v>111</v>
      </c>
      <c r="C66" s="36">
        <v>0.315</v>
      </c>
      <c r="D66" s="37" t="s">
        <v>230</v>
      </c>
      <c r="E66" s="37" t="s">
        <v>13</v>
      </c>
      <c r="F66" s="34"/>
      <c r="G66" s="11">
        <v>0</v>
      </c>
      <c r="H66" s="11">
        <v>100</v>
      </c>
      <c r="I66" s="11">
        <v>0</v>
      </c>
      <c r="K66" s="31"/>
      <c r="L66" s="9">
        <f t="shared" si="1"/>
        <v>0</v>
      </c>
      <c r="N66" s="11">
        <v>2</v>
      </c>
      <c r="O66" s="11">
        <v>25</v>
      </c>
      <c r="P66" s="9">
        <f t="shared" si="2"/>
        <v>2.4166666666666665</v>
      </c>
      <c r="Q66" s="9">
        <f t="shared" si="5"/>
        <v>1.508</v>
      </c>
      <c r="R66" s="9">
        <f t="shared" si="3"/>
        <v>1.508</v>
      </c>
      <c r="S66" s="21">
        <f>100*L66/Q66</f>
        <v>0</v>
      </c>
      <c r="T66" s="9">
        <v>1.508</v>
      </c>
      <c r="U66" s="9">
        <v>0</v>
      </c>
      <c r="V66" s="9">
        <f t="shared" si="0"/>
        <v>1.508</v>
      </c>
      <c r="W66" s="9">
        <f t="shared" si="4"/>
        <v>0</v>
      </c>
      <c r="X66" s="9"/>
      <c r="Y66" s="9"/>
      <c r="Z66" s="9"/>
      <c r="AA66" s="21"/>
    </row>
    <row r="67" spans="1:27" ht="20.100000000000001" customHeight="1" x14ac:dyDescent="0.25">
      <c r="A67" s="34">
        <v>43064</v>
      </c>
      <c r="B67" s="35" t="s">
        <v>112</v>
      </c>
      <c r="C67" s="36">
        <v>0.41199999999999998</v>
      </c>
      <c r="D67" s="37" t="s">
        <v>230</v>
      </c>
      <c r="E67" s="37" t="s">
        <v>239</v>
      </c>
      <c r="F67" s="34" t="s">
        <v>240</v>
      </c>
      <c r="G67" s="11">
        <v>18</v>
      </c>
      <c r="H67" s="11">
        <v>82</v>
      </c>
      <c r="I67" s="11">
        <v>0</v>
      </c>
      <c r="K67" s="31">
        <v>1700</v>
      </c>
      <c r="L67" s="9">
        <f t="shared" si="1"/>
        <v>0.47222222222222221</v>
      </c>
      <c r="N67" s="11">
        <v>3</v>
      </c>
      <c r="O67" s="11">
        <v>30</v>
      </c>
      <c r="P67" s="9">
        <f t="shared" si="2"/>
        <v>3.5</v>
      </c>
      <c r="Q67" s="9">
        <f t="shared" si="5"/>
        <v>2.1840000000000002</v>
      </c>
      <c r="R67" s="9">
        <f t="shared" si="3"/>
        <v>2.1840000000000002</v>
      </c>
      <c r="S67" s="21">
        <f>100*L67/Q67</f>
        <v>21.621896621896621</v>
      </c>
      <c r="T67" s="9">
        <v>2.1840000000000002</v>
      </c>
      <c r="U67" s="9">
        <v>0.47222222222222221</v>
      </c>
      <c r="V67" s="9">
        <f t="shared" ref="V67:V130" si="9">T67*H67%</f>
        <v>1.79088</v>
      </c>
      <c r="W67" s="9">
        <f t="shared" si="4"/>
        <v>0</v>
      </c>
      <c r="X67" s="9">
        <f>SUM(U60:U67)</f>
        <v>2.9611111111111112</v>
      </c>
      <c r="Y67" s="9">
        <f>100*X67/SUM(T60:T67)</f>
        <v>26.922999212009781</v>
      </c>
      <c r="Z67" s="9">
        <f>100*SUM(V60:V67)/SUM(T60:T67)</f>
        <v>77.746267148889729</v>
      </c>
      <c r="AA67" s="9">
        <f>100*SUM(W60:W67)/SUM(T60:T67)</f>
        <v>0</v>
      </c>
    </row>
    <row r="68" spans="1:27" ht="20.100000000000001" customHeight="1" x14ac:dyDescent="0.25">
      <c r="A68" s="43">
        <v>43080</v>
      </c>
      <c r="B68" s="44" t="s">
        <v>99</v>
      </c>
      <c r="C68" s="45">
        <v>0.42699999999999999</v>
      </c>
      <c r="D68" s="46" t="s">
        <v>209</v>
      </c>
      <c r="E68" s="46" t="s">
        <v>198</v>
      </c>
      <c r="F68" s="43" t="s">
        <v>242</v>
      </c>
      <c r="G68" s="47">
        <v>100</v>
      </c>
      <c r="H68" s="47">
        <v>0</v>
      </c>
      <c r="I68" s="47">
        <v>0</v>
      </c>
      <c r="J68" s="48"/>
      <c r="K68" s="49">
        <v>9560</v>
      </c>
      <c r="L68" s="33">
        <f t="shared" ref="L68:L131" si="10">K68/3600</f>
        <v>2.6555555555555554</v>
      </c>
      <c r="M68" s="48"/>
      <c r="N68" s="47">
        <v>4</v>
      </c>
      <c r="O68" s="47">
        <v>30</v>
      </c>
      <c r="P68" s="33">
        <f t="shared" ref="P68:P131" si="11">N68+O68/60</f>
        <v>4.5</v>
      </c>
      <c r="Q68" s="33">
        <f t="shared" si="5"/>
        <v>2.8079999999999998</v>
      </c>
      <c r="R68" s="33">
        <f t="shared" ref="R68:R131" si="12">IF(G68=100,L68,Q68)</f>
        <v>2.6555555555555554</v>
      </c>
      <c r="S68" s="50">
        <v>100</v>
      </c>
      <c r="T68" s="33">
        <v>2.6555555555555554</v>
      </c>
      <c r="U68" s="33">
        <v>2.6555555555555554</v>
      </c>
      <c r="V68" s="33">
        <f t="shared" si="9"/>
        <v>0</v>
      </c>
      <c r="W68" s="33">
        <f t="shared" ref="W68:W131" si="13">T68*I68%</f>
        <v>0</v>
      </c>
      <c r="X68" s="33"/>
      <c r="Y68" s="33"/>
      <c r="Z68" s="33"/>
      <c r="AA68" s="50"/>
    </row>
    <row r="69" spans="1:27" ht="20.100000000000001" customHeight="1" x14ac:dyDescent="0.25">
      <c r="A69" s="39">
        <v>43081</v>
      </c>
      <c r="B69" s="40" t="s">
        <v>26</v>
      </c>
      <c r="C69" s="41">
        <v>0.32200000000000001</v>
      </c>
      <c r="D69" s="42" t="s">
        <v>243</v>
      </c>
      <c r="E69" s="42" t="s">
        <v>198</v>
      </c>
      <c r="F69" s="39" t="s">
        <v>245</v>
      </c>
      <c r="G69" s="11">
        <v>100</v>
      </c>
      <c r="H69" s="11">
        <v>0</v>
      </c>
      <c r="I69" s="11">
        <v>0</v>
      </c>
      <c r="K69" s="31">
        <v>7524</v>
      </c>
      <c r="L69" s="9">
        <f t="shared" si="10"/>
        <v>2.09</v>
      </c>
      <c r="N69" s="11">
        <v>3</v>
      </c>
      <c r="O69" s="11">
        <v>25</v>
      </c>
      <c r="P69" s="9">
        <f t="shared" si="11"/>
        <v>3.4166666666666665</v>
      </c>
      <c r="Q69" s="9">
        <f t="shared" ref="Q69:Q132" si="14">P69*62.4%</f>
        <v>2.1320000000000001</v>
      </c>
      <c r="R69" s="9">
        <f t="shared" si="12"/>
        <v>2.09</v>
      </c>
      <c r="S69" s="21">
        <v>100</v>
      </c>
      <c r="T69" s="9">
        <v>2.09</v>
      </c>
      <c r="U69" s="9">
        <v>2.09</v>
      </c>
      <c r="V69" s="9">
        <f t="shared" si="9"/>
        <v>0</v>
      </c>
      <c r="W69" s="9">
        <f t="shared" si="13"/>
        <v>0</v>
      </c>
      <c r="X69" s="9"/>
      <c r="Y69" s="9"/>
      <c r="Z69" s="9"/>
      <c r="AA69" s="21"/>
    </row>
    <row r="70" spans="1:27" ht="20.100000000000001" customHeight="1" x14ac:dyDescent="0.25">
      <c r="A70" s="39">
        <v>43082</v>
      </c>
      <c r="B70" s="40" t="s">
        <v>100</v>
      </c>
      <c r="C70" s="41">
        <v>0.22900000000000001</v>
      </c>
      <c r="D70" s="42" t="s">
        <v>246</v>
      </c>
      <c r="E70" s="42" t="s">
        <v>198</v>
      </c>
      <c r="F70" s="39" t="s">
        <v>244</v>
      </c>
      <c r="G70" s="11">
        <v>100</v>
      </c>
      <c r="H70" s="11">
        <v>0</v>
      </c>
      <c r="I70" s="11">
        <v>0</v>
      </c>
      <c r="K70" s="31">
        <v>5503</v>
      </c>
      <c r="L70" s="9">
        <f t="shared" si="10"/>
        <v>1.5286111111111111</v>
      </c>
      <c r="N70" s="11">
        <v>2</v>
      </c>
      <c r="O70" s="11">
        <v>25</v>
      </c>
      <c r="P70" s="9">
        <f t="shared" si="11"/>
        <v>2.4166666666666665</v>
      </c>
      <c r="Q70" s="9">
        <f t="shared" si="14"/>
        <v>1.508</v>
      </c>
      <c r="R70" s="9">
        <f t="shared" si="12"/>
        <v>1.5286111111111111</v>
      </c>
      <c r="S70" s="21">
        <v>100</v>
      </c>
      <c r="T70" s="9">
        <v>1.5286111111111111</v>
      </c>
      <c r="U70" s="9">
        <v>1.5286111111111111</v>
      </c>
      <c r="V70" s="9">
        <f t="shared" si="9"/>
        <v>0</v>
      </c>
      <c r="W70" s="9">
        <f t="shared" si="13"/>
        <v>0</v>
      </c>
      <c r="X70" s="9"/>
      <c r="Y70" s="9"/>
      <c r="Z70" s="9"/>
      <c r="AA70" s="21"/>
    </row>
    <row r="71" spans="1:27" ht="20.100000000000001" customHeight="1" x14ac:dyDescent="0.25">
      <c r="A71" s="39">
        <v>43083</v>
      </c>
      <c r="B71" s="40" t="s">
        <v>29</v>
      </c>
      <c r="C71" s="41">
        <v>0.14899999999999999</v>
      </c>
      <c r="D71" s="42" t="s">
        <v>222</v>
      </c>
      <c r="E71" s="42" t="s">
        <v>199</v>
      </c>
      <c r="F71" s="39" t="s">
        <v>249</v>
      </c>
      <c r="G71" s="11">
        <v>70</v>
      </c>
      <c r="H71" s="11">
        <v>30</v>
      </c>
      <c r="I71" s="11">
        <v>0</v>
      </c>
      <c r="K71" s="31">
        <v>2149</v>
      </c>
      <c r="L71" s="9">
        <f t="shared" si="10"/>
        <v>0.5969444444444445</v>
      </c>
      <c r="N71" s="11">
        <v>1</v>
      </c>
      <c r="O71" s="11">
        <v>25</v>
      </c>
      <c r="P71" s="9">
        <f t="shared" si="11"/>
        <v>1.4166666666666667</v>
      </c>
      <c r="Q71" s="9">
        <f t="shared" si="14"/>
        <v>0.88400000000000001</v>
      </c>
      <c r="R71" s="9">
        <f t="shared" si="12"/>
        <v>0.88400000000000001</v>
      </c>
      <c r="S71" s="21">
        <f t="shared" ref="S71:S77" si="15">100*L71/Q71</f>
        <v>67.527652086475626</v>
      </c>
      <c r="T71" s="9">
        <v>0.88400000000000001</v>
      </c>
      <c r="U71" s="9">
        <v>0.5969444444444445</v>
      </c>
      <c r="V71" s="9">
        <f t="shared" si="9"/>
        <v>0.26519999999999999</v>
      </c>
      <c r="W71" s="9">
        <f t="shared" si="13"/>
        <v>0</v>
      </c>
      <c r="X71" s="9"/>
      <c r="Y71" s="9"/>
      <c r="Z71" s="9"/>
      <c r="AA71" s="21"/>
    </row>
    <row r="72" spans="1:27" ht="20.100000000000001" customHeight="1" x14ac:dyDescent="0.25">
      <c r="A72" s="34">
        <v>43091</v>
      </c>
      <c r="B72" s="35" t="s">
        <v>113</v>
      </c>
      <c r="C72" s="36">
        <v>0.16700000000000001</v>
      </c>
      <c r="D72" s="37" t="s">
        <v>230</v>
      </c>
      <c r="E72" s="37" t="s">
        <v>247</v>
      </c>
      <c r="F72" s="34"/>
      <c r="G72" s="11">
        <v>0</v>
      </c>
      <c r="H72" s="11">
        <v>100</v>
      </c>
      <c r="I72" s="11">
        <v>0</v>
      </c>
      <c r="K72" s="31"/>
      <c r="L72" s="9">
        <f t="shared" si="10"/>
        <v>0</v>
      </c>
      <c r="N72" s="11">
        <v>1</v>
      </c>
      <c r="O72" s="11">
        <v>20</v>
      </c>
      <c r="P72" s="9">
        <f t="shared" si="11"/>
        <v>1.3333333333333333</v>
      </c>
      <c r="Q72" s="9">
        <f t="shared" si="14"/>
        <v>0.83199999999999996</v>
      </c>
      <c r="R72" s="9">
        <f t="shared" si="12"/>
        <v>0.83199999999999996</v>
      </c>
      <c r="S72" s="21">
        <f t="shared" si="15"/>
        <v>0</v>
      </c>
      <c r="T72" s="9">
        <v>0.83199999999999996</v>
      </c>
      <c r="U72" s="9">
        <v>0</v>
      </c>
      <c r="V72" s="9">
        <f t="shared" si="9"/>
        <v>0.83199999999999996</v>
      </c>
      <c r="W72" s="9">
        <f t="shared" si="13"/>
        <v>0</v>
      </c>
      <c r="X72" s="9"/>
      <c r="Y72" s="9"/>
      <c r="Z72" s="9"/>
      <c r="AA72" s="21"/>
    </row>
    <row r="73" spans="1:27" ht="20.100000000000001" customHeight="1" x14ac:dyDescent="0.25">
      <c r="A73" s="34">
        <v>43092</v>
      </c>
      <c r="B73" s="35" t="s">
        <v>114</v>
      </c>
      <c r="C73" s="36">
        <v>0.248</v>
      </c>
      <c r="D73" s="37" t="s">
        <v>230</v>
      </c>
      <c r="E73" s="37" t="s">
        <v>247</v>
      </c>
      <c r="F73" s="34"/>
      <c r="G73" s="11">
        <v>0</v>
      </c>
      <c r="H73" s="11">
        <v>100</v>
      </c>
      <c r="I73" s="11">
        <v>0</v>
      </c>
      <c r="K73" s="31"/>
      <c r="L73" s="9">
        <f t="shared" si="10"/>
        <v>0</v>
      </c>
      <c r="N73" s="11">
        <v>2</v>
      </c>
      <c r="O73" s="11">
        <v>20</v>
      </c>
      <c r="P73" s="9">
        <f t="shared" si="11"/>
        <v>2.3333333333333335</v>
      </c>
      <c r="Q73" s="9">
        <f t="shared" si="14"/>
        <v>1.4560000000000002</v>
      </c>
      <c r="R73" s="9">
        <f t="shared" si="12"/>
        <v>1.4560000000000002</v>
      </c>
      <c r="S73" s="21">
        <f t="shared" si="15"/>
        <v>0</v>
      </c>
      <c r="T73" s="9">
        <v>1.4560000000000002</v>
      </c>
      <c r="U73" s="9">
        <v>0</v>
      </c>
      <c r="V73" s="9">
        <f t="shared" si="9"/>
        <v>1.4560000000000002</v>
      </c>
      <c r="W73" s="9">
        <f t="shared" si="13"/>
        <v>0</v>
      </c>
      <c r="X73" s="9"/>
      <c r="Y73" s="9"/>
      <c r="Z73" s="9"/>
      <c r="AA73" s="21"/>
    </row>
    <row r="74" spans="1:27" ht="20.100000000000001" customHeight="1" x14ac:dyDescent="0.25">
      <c r="A74" s="34">
        <v>43093</v>
      </c>
      <c r="B74" s="35" t="s">
        <v>115</v>
      </c>
      <c r="C74" s="36">
        <v>0.34200000000000003</v>
      </c>
      <c r="D74" s="37" t="s">
        <v>230</v>
      </c>
      <c r="E74" s="54"/>
      <c r="F74" s="55" t="s">
        <v>248</v>
      </c>
      <c r="G74" s="11">
        <v>0</v>
      </c>
      <c r="H74" s="11">
        <v>100</v>
      </c>
      <c r="I74" s="11">
        <v>0</v>
      </c>
      <c r="K74" s="31"/>
      <c r="L74" s="9">
        <f t="shared" si="10"/>
        <v>0</v>
      </c>
      <c r="N74" s="11">
        <v>3</v>
      </c>
      <c r="O74" s="11">
        <v>25</v>
      </c>
      <c r="P74" s="9">
        <f t="shared" si="11"/>
        <v>3.4166666666666665</v>
      </c>
      <c r="Q74" s="9">
        <f t="shared" si="14"/>
        <v>2.1320000000000001</v>
      </c>
      <c r="R74" s="9">
        <f t="shared" si="12"/>
        <v>2.1320000000000001</v>
      </c>
      <c r="S74" s="21">
        <f t="shared" si="15"/>
        <v>0</v>
      </c>
      <c r="T74" s="9">
        <v>2.1320000000000001</v>
      </c>
      <c r="U74" s="9">
        <v>0</v>
      </c>
      <c r="V74" s="9">
        <f t="shared" si="9"/>
        <v>2.1320000000000001</v>
      </c>
      <c r="W74" s="9">
        <f t="shared" si="13"/>
        <v>0</v>
      </c>
      <c r="X74" s="9"/>
      <c r="Y74" s="9"/>
      <c r="Z74" s="9"/>
      <c r="AA74" s="21"/>
    </row>
    <row r="75" spans="1:27" ht="20.100000000000001" customHeight="1" x14ac:dyDescent="0.25">
      <c r="A75" s="34">
        <v>43094</v>
      </c>
      <c r="B75" s="35" t="s">
        <v>116</v>
      </c>
      <c r="C75" s="36">
        <v>0.44500000000000001</v>
      </c>
      <c r="D75" s="37" t="s">
        <v>230</v>
      </c>
      <c r="E75" s="54"/>
      <c r="F75" s="55" t="s">
        <v>248</v>
      </c>
      <c r="G75" s="11">
        <v>0</v>
      </c>
      <c r="H75" s="11">
        <v>100</v>
      </c>
      <c r="I75" s="11">
        <v>0</v>
      </c>
      <c r="K75" s="31"/>
      <c r="L75" s="9">
        <f t="shared" si="10"/>
        <v>0</v>
      </c>
      <c r="N75" s="11">
        <v>4</v>
      </c>
      <c r="O75" s="11">
        <v>25</v>
      </c>
      <c r="P75" s="9">
        <f t="shared" si="11"/>
        <v>4.416666666666667</v>
      </c>
      <c r="Q75" s="9">
        <f t="shared" si="14"/>
        <v>2.7560000000000002</v>
      </c>
      <c r="R75" s="9">
        <f t="shared" si="12"/>
        <v>2.7560000000000002</v>
      </c>
      <c r="S75" s="21">
        <f t="shared" si="15"/>
        <v>0</v>
      </c>
      <c r="T75" s="9">
        <v>2.7560000000000002</v>
      </c>
      <c r="U75" s="9">
        <v>0</v>
      </c>
      <c r="V75" s="9">
        <f t="shared" si="9"/>
        <v>2.7560000000000002</v>
      </c>
      <c r="W75" s="9">
        <f t="shared" si="13"/>
        <v>0</v>
      </c>
      <c r="X75" s="9">
        <f>SUM(U68:U75)</f>
        <v>6.8711111111111105</v>
      </c>
      <c r="Y75" s="9">
        <f>100*X75/SUM(T68:T75)</f>
        <v>47.935197566032983</v>
      </c>
      <c r="Z75" s="9">
        <f>100*SUM(V68:V75)/SUM(T68:T75)</f>
        <v>51.912330678448932</v>
      </c>
      <c r="AA75" s="9">
        <f>100*SUM(W68:W75)/SUM(T68:T75)</f>
        <v>0</v>
      </c>
    </row>
    <row r="76" spans="1:27" ht="20.100000000000001" customHeight="1" x14ac:dyDescent="0.25">
      <c r="A76" s="43">
        <v>43110</v>
      </c>
      <c r="B76" s="44" t="s">
        <v>117</v>
      </c>
      <c r="C76" s="45">
        <v>0.38700000000000001</v>
      </c>
      <c r="D76" s="46" t="s">
        <v>230</v>
      </c>
      <c r="E76" s="46" t="s">
        <v>13</v>
      </c>
      <c r="F76" s="43"/>
      <c r="G76" s="47">
        <v>0</v>
      </c>
      <c r="H76" s="47">
        <v>100</v>
      </c>
      <c r="I76" s="47">
        <v>0</v>
      </c>
      <c r="J76" s="48"/>
      <c r="K76" s="49"/>
      <c r="L76" s="33">
        <f t="shared" si="10"/>
        <v>0</v>
      </c>
      <c r="M76" s="48"/>
      <c r="N76" s="47">
        <v>3</v>
      </c>
      <c r="O76" s="47">
        <v>45</v>
      </c>
      <c r="P76" s="33">
        <f t="shared" si="11"/>
        <v>3.75</v>
      </c>
      <c r="Q76" s="33">
        <f t="shared" si="14"/>
        <v>2.34</v>
      </c>
      <c r="R76" s="33">
        <f t="shared" si="12"/>
        <v>2.34</v>
      </c>
      <c r="S76" s="50">
        <f t="shared" si="15"/>
        <v>0</v>
      </c>
      <c r="T76" s="33">
        <v>2.34</v>
      </c>
      <c r="U76" s="33">
        <v>0</v>
      </c>
      <c r="V76" s="33">
        <f t="shared" si="9"/>
        <v>2.34</v>
      </c>
      <c r="W76" s="33">
        <f t="shared" si="13"/>
        <v>0</v>
      </c>
      <c r="X76" s="33"/>
      <c r="Y76" s="33"/>
      <c r="Z76" s="33"/>
      <c r="AA76" s="50"/>
    </row>
    <row r="77" spans="1:27" ht="20.100000000000001" customHeight="1" x14ac:dyDescent="0.25">
      <c r="A77" s="39">
        <v>43111</v>
      </c>
      <c r="B77" s="40" t="s">
        <v>118</v>
      </c>
      <c r="C77" s="41">
        <v>0.28999999999999998</v>
      </c>
      <c r="D77" s="42" t="s">
        <v>230</v>
      </c>
      <c r="E77" s="42" t="s">
        <v>13</v>
      </c>
      <c r="F77" s="39"/>
      <c r="G77" s="11">
        <v>0</v>
      </c>
      <c r="H77" s="11">
        <v>100</v>
      </c>
      <c r="I77" s="11">
        <v>0</v>
      </c>
      <c r="K77" s="31"/>
      <c r="L77" s="9">
        <f t="shared" si="10"/>
        <v>0</v>
      </c>
      <c r="N77" s="11">
        <v>2</v>
      </c>
      <c r="O77" s="11">
        <v>40</v>
      </c>
      <c r="P77" s="9">
        <f t="shared" si="11"/>
        <v>2.6666666666666665</v>
      </c>
      <c r="Q77" s="9">
        <f t="shared" si="14"/>
        <v>1.6639999999999999</v>
      </c>
      <c r="R77" s="9">
        <f t="shared" si="12"/>
        <v>1.6639999999999999</v>
      </c>
      <c r="S77" s="21">
        <f t="shared" si="15"/>
        <v>0</v>
      </c>
      <c r="T77" s="9">
        <v>1.6639999999999999</v>
      </c>
      <c r="U77" s="9">
        <v>0</v>
      </c>
      <c r="V77" s="9">
        <f t="shared" si="9"/>
        <v>1.6639999999999999</v>
      </c>
      <c r="W77" s="9">
        <f t="shared" si="13"/>
        <v>0</v>
      </c>
      <c r="X77" s="9"/>
      <c r="Y77" s="9"/>
      <c r="Z77" s="9"/>
      <c r="AA77" s="21"/>
    </row>
    <row r="78" spans="1:27" ht="20.100000000000001" customHeight="1" x14ac:dyDescent="0.25">
      <c r="A78" s="39">
        <v>43112</v>
      </c>
      <c r="B78" s="40" t="s">
        <v>119</v>
      </c>
      <c r="C78" s="41">
        <v>0.20399999999999999</v>
      </c>
      <c r="D78" s="42" t="s">
        <v>222</v>
      </c>
      <c r="E78" s="56" t="s">
        <v>251</v>
      </c>
      <c r="F78" s="39"/>
      <c r="G78" s="11">
        <v>100</v>
      </c>
      <c r="H78" s="11">
        <v>0</v>
      </c>
      <c r="I78" s="11">
        <v>0</v>
      </c>
      <c r="K78" s="31">
        <v>3523</v>
      </c>
      <c r="L78" s="9">
        <f t="shared" si="10"/>
        <v>0.9786111111111111</v>
      </c>
      <c r="N78" s="11">
        <v>1</v>
      </c>
      <c r="O78" s="11">
        <v>40</v>
      </c>
      <c r="P78" s="9">
        <f t="shared" si="11"/>
        <v>1.6666666666666665</v>
      </c>
      <c r="Q78" s="9">
        <f t="shared" si="14"/>
        <v>1.0399999999999998</v>
      </c>
      <c r="R78" s="9">
        <f t="shared" si="12"/>
        <v>0.9786111111111111</v>
      </c>
      <c r="S78" s="21">
        <v>100</v>
      </c>
      <c r="T78" s="9">
        <v>0.9786111111111111</v>
      </c>
      <c r="U78" s="9">
        <v>0.9786111111111111</v>
      </c>
      <c r="V78" s="9">
        <f t="shared" si="9"/>
        <v>0</v>
      </c>
      <c r="W78" s="9">
        <f t="shared" si="13"/>
        <v>0</v>
      </c>
      <c r="X78" s="9"/>
      <c r="Y78" s="9"/>
      <c r="Z78" s="9"/>
      <c r="AA78" s="21"/>
    </row>
    <row r="79" spans="1:27" ht="20.100000000000001" customHeight="1" x14ac:dyDescent="0.25">
      <c r="A79" s="39">
        <v>43113</v>
      </c>
      <c r="B79" s="40" t="s">
        <v>120</v>
      </c>
      <c r="C79" s="41">
        <v>0.13100000000000001</v>
      </c>
      <c r="D79" s="42" t="s">
        <v>230</v>
      </c>
      <c r="E79" s="42" t="s">
        <v>13</v>
      </c>
      <c r="F79" s="39"/>
      <c r="G79" s="11">
        <v>0</v>
      </c>
      <c r="H79" s="11">
        <v>100</v>
      </c>
      <c r="I79" s="11">
        <v>0</v>
      </c>
      <c r="K79" s="31"/>
      <c r="L79" s="9">
        <f t="shared" si="10"/>
        <v>0</v>
      </c>
      <c r="N79" s="11">
        <v>0</v>
      </c>
      <c r="O79" s="11">
        <v>40</v>
      </c>
      <c r="P79" s="9">
        <f t="shared" si="11"/>
        <v>0.66666666666666663</v>
      </c>
      <c r="Q79" s="9">
        <f t="shared" si="14"/>
        <v>0.41599999999999998</v>
      </c>
      <c r="R79" s="9">
        <f t="shared" si="12"/>
        <v>0.41599999999999998</v>
      </c>
      <c r="S79" s="21">
        <f>100*L79/Q79</f>
        <v>0</v>
      </c>
      <c r="T79" s="9">
        <v>0.41599999999999998</v>
      </c>
      <c r="U79" s="9">
        <v>0</v>
      </c>
      <c r="V79" s="9">
        <f t="shared" si="9"/>
        <v>0.41599999999999998</v>
      </c>
      <c r="W79" s="9">
        <f t="shared" si="13"/>
        <v>0</v>
      </c>
      <c r="X79" s="9"/>
      <c r="Y79" s="9"/>
      <c r="Z79" s="9"/>
      <c r="AA79" s="21"/>
    </row>
    <row r="80" spans="1:27" ht="20.100000000000001" customHeight="1" x14ac:dyDescent="0.25">
      <c r="A80" s="34">
        <v>43120</v>
      </c>
      <c r="B80" s="35" t="s">
        <v>121</v>
      </c>
      <c r="C80" s="36">
        <v>0.11700000000000001</v>
      </c>
      <c r="D80" s="37"/>
      <c r="E80" s="37" t="s">
        <v>13</v>
      </c>
      <c r="F80" s="34"/>
      <c r="G80" s="11">
        <v>0</v>
      </c>
      <c r="H80" s="11">
        <v>100</v>
      </c>
      <c r="I80" s="11">
        <v>0</v>
      </c>
      <c r="K80" s="31"/>
      <c r="L80" s="9">
        <f t="shared" si="10"/>
        <v>0</v>
      </c>
      <c r="N80" s="11">
        <v>0</v>
      </c>
      <c r="O80" s="11">
        <v>50</v>
      </c>
      <c r="P80" s="9">
        <f t="shared" si="11"/>
        <v>0.83333333333333337</v>
      </c>
      <c r="Q80" s="9">
        <f t="shared" si="14"/>
        <v>0.52</v>
      </c>
      <c r="R80" s="9">
        <f t="shared" si="12"/>
        <v>0.52</v>
      </c>
      <c r="S80" s="21">
        <f>100*L80/Q80</f>
        <v>0</v>
      </c>
      <c r="T80" s="9">
        <v>0.52</v>
      </c>
      <c r="U80" s="9">
        <v>0</v>
      </c>
      <c r="V80" s="9">
        <f t="shared" si="9"/>
        <v>0.52</v>
      </c>
      <c r="W80" s="9">
        <f t="shared" si="13"/>
        <v>0</v>
      </c>
      <c r="X80" s="9"/>
      <c r="Y80" s="9"/>
      <c r="Z80" s="9"/>
      <c r="AA80" s="21"/>
    </row>
    <row r="81" spans="1:27" ht="20.100000000000001" customHeight="1" x14ac:dyDescent="0.25">
      <c r="A81" s="34">
        <v>43121</v>
      </c>
      <c r="B81" s="35" t="s">
        <v>122</v>
      </c>
      <c r="C81" s="36">
        <v>0.192</v>
      </c>
      <c r="D81" s="37"/>
      <c r="E81" s="37" t="s">
        <v>13</v>
      </c>
      <c r="F81" s="34"/>
      <c r="G81" s="11">
        <v>0</v>
      </c>
      <c r="H81" s="11">
        <v>100</v>
      </c>
      <c r="I81" s="11">
        <v>0</v>
      </c>
      <c r="K81" s="31"/>
      <c r="L81" s="9">
        <f t="shared" si="10"/>
        <v>0</v>
      </c>
      <c r="N81" s="11">
        <v>1</v>
      </c>
      <c r="O81" s="11">
        <v>50</v>
      </c>
      <c r="P81" s="9">
        <f t="shared" si="11"/>
        <v>1.8333333333333335</v>
      </c>
      <c r="Q81" s="9">
        <f t="shared" si="14"/>
        <v>1.1440000000000001</v>
      </c>
      <c r="R81" s="9">
        <f t="shared" si="12"/>
        <v>1.1440000000000001</v>
      </c>
      <c r="S81" s="21">
        <f>100*L81/Q81</f>
        <v>0</v>
      </c>
      <c r="T81" s="9">
        <v>1.1440000000000001</v>
      </c>
      <c r="U81" s="9">
        <v>0</v>
      </c>
      <c r="V81" s="9">
        <f t="shared" si="9"/>
        <v>1.1440000000000001</v>
      </c>
      <c r="W81" s="9">
        <f t="shared" si="13"/>
        <v>0</v>
      </c>
      <c r="X81" s="9"/>
      <c r="Y81" s="9"/>
      <c r="Z81" s="9"/>
      <c r="AA81" s="21"/>
    </row>
    <row r="82" spans="1:27" ht="20.100000000000001" customHeight="1" x14ac:dyDescent="0.25">
      <c r="A82" s="34">
        <v>43122</v>
      </c>
      <c r="B82" s="35" t="s">
        <v>123</v>
      </c>
      <c r="C82" s="36">
        <v>0.28199999999999997</v>
      </c>
      <c r="D82" s="37" t="s">
        <v>230</v>
      </c>
      <c r="E82" s="37" t="s">
        <v>252</v>
      </c>
      <c r="F82" s="34" t="s">
        <v>253</v>
      </c>
      <c r="G82" s="11">
        <v>8</v>
      </c>
      <c r="H82" s="11">
        <v>92</v>
      </c>
      <c r="I82" s="11">
        <v>0</v>
      </c>
      <c r="K82" s="31">
        <v>342</v>
      </c>
      <c r="L82" s="9">
        <f t="shared" si="10"/>
        <v>9.5000000000000001E-2</v>
      </c>
      <c r="N82" s="11">
        <v>2</v>
      </c>
      <c r="O82" s="11">
        <v>55</v>
      </c>
      <c r="P82" s="9">
        <f t="shared" si="11"/>
        <v>2.9166666666666665</v>
      </c>
      <c r="Q82" s="9">
        <f t="shared" si="14"/>
        <v>1.8199999999999998</v>
      </c>
      <c r="R82" s="9">
        <f t="shared" si="12"/>
        <v>1.8199999999999998</v>
      </c>
      <c r="S82" s="21">
        <v>8</v>
      </c>
      <c r="T82" s="9">
        <v>1.8199999999999998</v>
      </c>
      <c r="U82" s="9">
        <v>9.5000000000000001E-2</v>
      </c>
      <c r="V82" s="9">
        <f t="shared" si="9"/>
        <v>1.6743999999999999</v>
      </c>
      <c r="W82" s="9">
        <f t="shared" si="13"/>
        <v>0</v>
      </c>
      <c r="X82" s="9"/>
      <c r="Y82" s="9"/>
      <c r="Z82" s="9"/>
      <c r="AA82" s="21"/>
    </row>
    <row r="83" spans="1:27" ht="20.100000000000001" customHeight="1" x14ac:dyDescent="0.25">
      <c r="A83" s="34">
        <v>43123</v>
      </c>
      <c r="B83" s="35" t="s">
        <v>124</v>
      </c>
      <c r="C83" s="36">
        <v>0.38500000000000001</v>
      </c>
      <c r="D83" s="37"/>
      <c r="E83" s="37" t="s">
        <v>13</v>
      </c>
      <c r="F83" s="34"/>
      <c r="G83" s="11">
        <v>0</v>
      </c>
      <c r="H83" s="11">
        <v>100</v>
      </c>
      <c r="I83" s="11">
        <v>0</v>
      </c>
      <c r="K83" s="31"/>
      <c r="L83" s="9">
        <f t="shared" si="10"/>
        <v>0</v>
      </c>
      <c r="N83" s="11">
        <v>4</v>
      </c>
      <c r="O83" s="11">
        <v>0</v>
      </c>
      <c r="P83" s="9">
        <f t="shared" si="11"/>
        <v>4</v>
      </c>
      <c r="Q83" s="9">
        <f t="shared" si="14"/>
        <v>2.496</v>
      </c>
      <c r="R83" s="9">
        <f t="shared" si="12"/>
        <v>2.496</v>
      </c>
      <c r="S83" s="21">
        <f t="shared" ref="S83:S90" si="16">100*L83/Q83</f>
        <v>0</v>
      </c>
      <c r="T83" s="9">
        <v>2.496</v>
      </c>
      <c r="U83" s="9">
        <v>0</v>
      </c>
      <c r="V83" s="9">
        <f t="shared" si="9"/>
        <v>2.496</v>
      </c>
      <c r="W83" s="9">
        <f t="shared" si="13"/>
        <v>0</v>
      </c>
      <c r="X83" s="9">
        <f>SUM(U76:U83)</f>
        <v>1.0736111111111111</v>
      </c>
      <c r="Y83" s="9">
        <f>100*X83/SUM(T76:T83)</f>
        <v>9.4353440910089592</v>
      </c>
      <c r="Z83" s="9">
        <f>100*SUM(V76:V83)/SUM(T76:T83)</f>
        <v>90.119961916851793</v>
      </c>
      <c r="AA83" s="9">
        <f>100*SUM(W76:W83)/SUM(T76:T83)</f>
        <v>0</v>
      </c>
    </row>
    <row r="84" spans="1:27" ht="20.100000000000001" customHeight="1" x14ac:dyDescent="0.25">
      <c r="A84" s="43">
        <v>43140</v>
      </c>
      <c r="B84" s="44" t="s">
        <v>125</v>
      </c>
      <c r="C84" s="45">
        <v>0.36299999999999999</v>
      </c>
      <c r="D84" s="46"/>
      <c r="E84" s="46" t="s">
        <v>13</v>
      </c>
      <c r="F84" s="43"/>
      <c r="G84" s="47">
        <v>0</v>
      </c>
      <c r="H84" s="47">
        <v>100</v>
      </c>
      <c r="I84" s="47">
        <v>0</v>
      </c>
      <c r="J84" s="48"/>
      <c r="K84" s="49"/>
      <c r="L84" s="33">
        <f t="shared" si="10"/>
        <v>0</v>
      </c>
      <c r="M84" s="48"/>
      <c r="N84" s="47">
        <v>2</v>
      </c>
      <c r="O84" s="47">
        <v>35</v>
      </c>
      <c r="P84" s="33">
        <f t="shared" si="11"/>
        <v>2.5833333333333335</v>
      </c>
      <c r="Q84" s="33">
        <f t="shared" si="14"/>
        <v>1.6120000000000001</v>
      </c>
      <c r="R84" s="33">
        <f t="shared" si="12"/>
        <v>1.6120000000000001</v>
      </c>
      <c r="S84" s="50">
        <f t="shared" si="16"/>
        <v>0</v>
      </c>
      <c r="T84" s="33">
        <v>1.6120000000000001</v>
      </c>
      <c r="U84" s="33">
        <v>0</v>
      </c>
      <c r="V84" s="33">
        <f t="shared" si="9"/>
        <v>1.6120000000000001</v>
      </c>
      <c r="W84" s="33">
        <f t="shared" si="13"/>
        <v>0</v>
      </c>
      <c r="X84" s="33"/>
      <c r="Y84" s="33"/>
      <c r="Z84" s="33"/>
      <c r="AA84" s="50"/>
    </row>
    <row r="85" spans="1:27" ht="20.100000000000001" customHeight="1" x14ac:dyDescent="0.25">
      <c r="A85" s="39">
        <v>43141</v>
      </c>
      <c r="B85" s="40" t="s">
        <v>126</v>
      </c>
      <c r="C85" s="41">
        <v>0.27200000000000002</v>
      </c>
      <c r="D85" s="42"/>
      <c r="E85" s="42" t="s">
        <v>13</v>
      </c>
      <c r="F85" s="39"/>
      <c r="G85" s="11">
        <v>0</v>
      </c>
      <c r="H85" s="11">
        <v>100</v>
      </c>
      <c r="I85" s="11">
        <v>0</v>
      </c>
      <c r="K85" s="31"/>
      <c r="L85" s="9">
        <f t="shared" si="10"/>
        <v>0</v>
      </c>
      <c r="N85" s="11">
        <v>1</v>
      </c>
      <c r="O85" s="11">
        <v>30</v>
      </c>
      <c r="P85" s="9">
        <f t="shared" si="11"/>
        <v>1.5</v>
      </c>
      <c r="Q85" s="9">
        <f t="shared" si="14"/>
        <v>0.93599999999999994</v>
      </c>
      <c r="R85" s="9">
        <f t="shared" si="12"/>
        <v>0.93599999999999994</v>
      </c>
      <c r="S85" s="21">
        <f t="shared" si="16"/>
        <v>0</v>
      </c>
      <c r="T85" s="9">
        <v>0.93599999999999994</v>
      </c>
      <c r="U85" s="9">
        <v>0</v>
      </c>
      <c r="V85" s="9">
        <f t="shared" si="9"/>
        <v>0.93599999999999994</v>
      </c>
      <c r="W85" s="9">
        <f t="shared" si="13"/>
        <v>0</v>
      </c>
      <c r="X85" s="9"/>
      <c r="Y85" s="9"/>
      <c r="Z85" s="9"/>
      <c r="AA85" s="21"/>
    </row>
    <row r="86" spans="1:27" ht="20.100000000000001" customHeight="1" x14ac:dyDescent="0.25">
      <c r="A86" s="39">
        <v>43142</v>
      </c>
      <c r="B86" s="40" t="s">
        <v>127</v>
      </c>
      <c r="C86" s="41">
        <v>0.189</v>
      </c>
      <c r="D86" s="42"/>
      <c r="E86" s="42" t="s">
        <v>13</v>
      </c>
      <c r="F86" s="39"/>
      <c r="G86" s="11">
        <v>0</v>
      </c>
      <c r="H86" s="11">
        <v>100</v>
      </c>
      <c r="I86" s="11">
        <v>0</v>
      </c>
      <c r="K86" s="31"/>
      <c r="L86" s="9">
        <f t="shared" si="10"/>
        <v>0</v>
      </c>
      <c r="N86" s="11">
        <v>0</v>
      </c>
      <c r="O86" s="11">
        <v>40</v>
      </c>
      <c r="P86" s="9">
        <f t="shared" si="11"/>
        <v>0.66666666666666663</v>
      </c>
      <c r="Q86" s="9">
        <f t="shared" si="14"/>
        <v>0.41599999999999998</v>
      </c>
      <c r="R86" s="9">
        <f t="shared" si="12"/>
        <v>0.41599999999999998</v>
      </c>
      <c r="S86" s="21">
        <f t="shared" si="16"/>
        <v>0</v>
      </c>
      <c r="T86" s="9">
        <v>0.41599999999999998</v>
      </c>
      <c r="U86" s="9">
        <v>0</v>
      </c>
      <c r="V86" s="9">
        <f t="shared" si="9"/>
        <v>0.41599999999999998</v>
      </c>
      <c r="W86" s="9">
        <f t="shared" si="13"/>
        <v>0</v>
      </c>
      <c r="X86" s="9"/>
      <c r="Y86" s="9"/>
      <c r="Z86" s="9"/>
      <c r="AA86" s="21"/>
    </row>
    <row r="87" spans="1:27" ht="20.100000000000001" customHeight="1" x14ac:dyDescent="0.25">
      <c r="A87" s="34">
        <v>43150</v>
      </c>
      <c r="B87" s="35" t="s">
        <v>128</v>
      </c>
      <c r="C87" s="36">
        <v>0.14799999999999999</v>
      </c>
      <c r="D87" s="37"/>
      <c r="E87" s="37" t="s">
        <v>13</v>
      </c>
      <c r="F87" s="34"/>
      <c r="G87" s="11">
        <v>0</v>
      </c>
      <c r="H87" s="11">
        <v>100</v>
      </c>
      <c r="I87" s="11">
        <v>0</v>
      </c>
      <c r="K87" s="31"/>
      <c r="L87" s="9">
        <f t="shared" si="10"/>
        <v>0</v>
      </c>
      <c r="N87" s="11">
        <v>1</v>
      </c>
      <c r="O87" s="11">
        <v>15</v>
      </c>
      <c r="P87" s="9">
        <f t="shared" si="11"/>
        <v>1.25</v>
      </c>
      <c r="Q87" s="9">
        <f t="shared" si="14"/>
        <v>0.78</v>
      </c>
      <c r="R87" s="9">
        <f t="shared" si="12"/>
        <v>0.78</v>
      </c>
      <c r="S87" s="21">
        <f t="shared" si="16"/>
        <v>0</v>
      </c>
      <c r="T87" s="9">
        <v>0.78</v>
      </c>
      <c r="U87" s="9">
        <v>0</v>
      </c>
      <c r="V87" s="9">
        <f t="shared" si="9"/>
        <v>0.78</v>
      </c>
      <c r="W87" s="9">
        <f t="shared" si="13"/>
        <v>0</v>
      </c>
      <c r="X87" s="9"/>
      <c r="Y87" s="9"/>
      <c r="Z87" s="9"/>
      <c r="AA87" s="21"/>
    </row>
    <row r="88" spans="1:27" ht="20.100000000000001" customHeight="1" x14ac:dyDescent="0.25">
      <c r="A88" s="34">
        <v>43151</v>
      </c>
      <c r="B88" s="35" t="s">
        <v>129</v>
      </c>
      <c r="C88" s="36">
        <v>0.23499999999999999</v>
      </c>
      <c r="D88" s="37"/>
      <c r="E88" s="37" t="s">
        <v>13</v>
      </c>
      <c r="F88" s="34"/>
      <c r="G88" s="11">
        <v>0</v>
      </c>
      <c r="H88" s="11">
        <v>100</v>
      </c>
      <c r="I88" s="11">
        <v>0</v>
      </c>
      <c r="K88" s="31"/>
      <c r="L88" s="9">
        <f t="shared" si="10"/>
        <v>0</v>
      </c>
      <c r="N88" s="11">
        <v>2</v>
      </c>
      <c r="O88" s="11">
        <v>20</v>
      </c>
      <c r="P88" s="9">
        <f t="shared" si="11"/>
        <v>2.3333333333333335</v>
      </c>
      <c r="Q88" s="9">
        <f t="shared" si="14"/>
        <v>1.4560000000000002</v>
      </c>
      <c r="R88" s="9">
        <f t="shared" si="12"/>
        <v>1.4560000000000002</v>
      </c>
      <c r="S88" s="21">
        <f t="shared" si="16"/>
        <v>0</v>
      </c>
      <c r="T88" s="9">
        <v>1.4560000000000002</v>
      </c>
      <c r="U88" s="9">
        <v>0</v>
      </c>
      <c r="V88" s="9">
        <f t="shared" si="9"/>
        <v>1.4560000000000002</v>
      </c>
      <c r="W88" s="9">
        <f t="shared" si="13"/>
        <v>0</v>
      </c>
      <c r="X88" s="9"/>
      <c r="Y88" s="9"/>
      <c r="Z88" s="9"/>
      <c r="AA88" s="21"/>
    </row>
    <row r="89" spans="1:27" ht="20.100000000000001" customHeight="1" x14ac:dyDescent="0.25">
      <c r="A89" s="34">
        <v>43152</v>
      </c>
      <c r="B89" s="35" t="s">
        <v>130</v>
      </c>
      <c r="C89" s="36">
        <v>0.33600000000000002</v>
      </c>
      <c r="D89" s="37"/>
      <c r="E89" s="37" t="s">
        <v>13</v>
      </c>
      <c r="F89" s="34"/>
      <c r="G89" s="11">
        <v>0</v>
      </c>
      <c r="H89" s="11">
        <v>100</v>
      </c>
      <c r="I89" s="11">
        <v>0</v>
      </c>
      <c r="K89" s="31"/>
      <c r="L89" s="9">
        <f t="shared" si="10"/>
        <v>0</v>
      </c>
      <c r="N89" s="11">
        <v>3</v>
      </c>
      <c r="O89" s="11">
        <v>25</v>
      </c>
      <c r="P89" s="9">
        <f t="shared" si="11"/>
        <v>3.4166666666666665</v>
      </c>
      <c r="Q89" s="9">
        <f t="shared" si="14"/>
        <v>2.1320000000000001</v>
      </c>
      <c r="R89" s="9">
        <f t="shared" si="12"/>
        <v>2.1320000000000001</v>
      </c>
      <c r="S89" s="21">
        <f t="shared" si="16"/>
        <v>0</v>
      </c>
      <c r="T89" s="9">
        <v>2.1320000000000001</v>
      </c>
      <c r="U89" s="9">
        <v>0</v>
      </c>
      <c r="V89" s="9">
        <f t="shared" si="9"/>
        <v>2.1320000000000001</v>
      </c>
      <c r="W89" s="9">
        <f t="shared" si="13"/>
        <v>0</v>
      </c>
      <c r="X89" s="9"/>
      <c r="Y89" s="9"/>
      <c r="Z89" s="9"/>
      <c r="AA89" s="21"/>
    </row>
    <row r="90" spans="1:27" ht="20.100000000000001" customHeight="1" x14ac:dyDescent="0.25">
      <c r="A90" s="34">
        <v>43153</v>
      </c>
      <c r="B90" s="35" t="s">
        <v>131</v>
      </c>
      <c r="C90" s="36">
        <v>0.44900000000000001</v>
      </c>
      <c r="D90" s="37"/>
      <c r="E90" s="37" t="s">
        <v>252</v>
      </c>
      <c r="F90" s="34" t="s">
        <v>255</v>
      </c>
      <c r="G90" s="11">
        <v>0</v>
      </c>
      <c r="H90" s="11">
        <v>70</v>
      </c>
      <c r="I90" s="11">
        <v>30</v>
      </c>
      <c r="K90" s="31"/>
      <c r="L90" s="9">
        <f t="shared" si="10"/>
        <v>0</v>
      </c>
      <c r="N90" s="11">
        <v>4</v>
      </c>
      <c r="O90" s="11">
        <v>25</v>
      </c>
      <c r="P90" s="9">
        <f t="shared" si="11"/>
        <v>4.416666666666667</v>
      </c>
      <c r="Q90" s="9">
        <f t="shared" si="14"/>
        <v>2.7560000000000002</v>
      </c>
      <c r="R90" s="9">
        <f t="shared" si="12"/>
        <v>2.7560000000000002</v>
      </c>
      <c r="S90" s="21">
        <f t="shared" si="16"/>
        <v>0</v>
      </c>
      <c r="T90" s="9">
        <v>2.7560000000000002</v>
      </c>
      <c r="U90" s="9">
        <v>0</v>
      </c>
      <c r="V90" s="9">
        <f t="shared" si="9"/>
        <v>1.9292</v>
      </c>
      <c r="W90" s="9">
        <f t="shared" si="13"/>
        <v>0.82680000000000009</v>
      </c>
      <c r="X90" s="9">
        <f>SUM(U84:U90)</f>
        <v>0</v>
      </c>
      <c r="Y90" s="9">
        <f>100*X90/SUM(T84:T90)</f>
        <v>0</v>
      </c>
      <c r="Z90" s="9">
        <f>100*SUM(V84:V90)/SUM(T84:T90)</f>
        <v>91.804123711340196</v>
      </c>
      <c r="AA90" s="9">
        <f>100*SUM(W84:W90)/SUM(T84:T90)</f>
        <v>8.1958762886597931</v>
      </c>
    </row>
    <row r="91" spans="1:27" ht="20.100000000000001" customHeight="1" x14ac:dyDescent="0.25">
      <c r="A91" s="43">
        <v>43169</v>
      </c>
      <c r="B91" s="44" t="s">
        <v>132</v>
      </c>
      <c r="C91" s="45">
        <v>0.443</v>
      </c>
      <c r="D91" s="46" t="s">
        <v>209</v>
      </c>
      <c r="E91" s="46" t="s">
        <v>216</v>
      </c>
      <c r="F91" s="43" t="s">
        <v>258</v>
      </c>
      <c r="G91" s="47">
        <v>100</v>
      </c>
      <c r="H91" s="47">
        <v>0</v>
      </c>
      <c r="I91" s="47">
        <v>0</v>
      </c>
      <c r="J91" s="48"/>
      <c r="K91" s="49">
        <v>3849</v>
      </c>
      <c r="L91" s="33">
        <f t="shared" si="10"/>
        <v>1.0691666666666666</v>
      </c>
      <c r="M91" s="48"/>
      <c r="N91" s="47">
        <v>2</v>
      </c>
      <c r="O91" s="47">
        <v>10</v>
      </c>
      <c r="P91" s="33">
        <f t="shared" si="11"/>
        <v>2.1666666666666665</v>
      </c>
      <c r="Q91" s="33">
        <f t="shared" si="14"/>
        <v>1.3519999999999999</v>
      </c>
      <c r="R91" s="33">
        <f t="shared" si="12"/>
        <v>1.0691666666666666</v>
      </c>
      <c r="S91" s="50">
        <v>100</v>
      </c>
      <c r="T91" s="33">
        <v>1.0691666666666666</v>
      </c>
      <c r="U91" s="33">
        <v>1.0691666666666666</v>
      </c>
      <c r="V91" s="33">
        <f t="shared" si="9"/>
        <v>0</v>
      </c>
      <c r="W91" s="33">
        <f t="shared" si="13"/>
        <v>0</v>
      </c>
      <c r="X91" s="33"/>
      <c r="Y91" s="33"/>
      <c r="Z91" s="33"/>
      <c r="AA91" s="50"/>
    </row>
    <row r="92" spans="1:27" ht="20.100000000000001" customHeight="1" x14ac:dyDescent="0.25">
      <c r="A92" s="39">
        <v>43170</v>
      </c>
      <c r="B92" s="40" t="s">
        <v>133</v>
      </c>
      <c r="C92" s="41">
        <v>0.34699999999999998</v>
      </c>
      <c r="D92" s="42" t="s">
        <v>230</v>
      </c>
      <c r="E92" s="42" t="s">
        <v>216</v>
      </c>
      <c r="F92" s="39"/>
      <c r="G92" s="11">
        <v>100</v>
      </c>
      <c r="H92" s="11">
        <v>0</v>
      </c>
      <c r="I92" s="11">
        <v>0</v>
      </c>
      <c r="K92" s="31">
        <v>2635</v>
      </c>
      <c r="L92" s="9">
        <f t="shared" si="10"/>
        <v>0.7319444444444444</v>
      </c>
      <c r="N92" s="11">
        <v>1</v>
      </c>
      <c r="O92" s="11">
        <v>15</v>
      </c>
      <c r="P92" s="9">
        <f t="shared" si="11"/>
        <v>1.25</v>
      </c>
      <c r="Q92" s="9">
        <f t="shared" si="14"/>
        <v>0.78</v>
      </c>
      <c r="R92" s="9">
        <f t="shared" si="12"/>
        <v>0.7319444444444444</v>
      </c>
      <c r="S92" s="21">
        <v>100</v>
      </c>
      <c r="T92" s="9">
        <v>0.7319444444444444</v>
      </c>
      <c r="U92" s="9">
        <v>0.7319444444444444</v>
      </c>
      <c r="V92" s="9">
        <f t="shared" si="9"/>
        <v>0</v>
      </c>
      <c r="W92" s="9">
        <f t="shared" si="13"/>
        <v>0</v>
      </c>
      <c r="X92" s="9"/>
      <c r="Y92" s="9"/>
      <c r="Z92" s="9"/>
      <c r="AA92" s="21"/>
    </row>
    <row r="93" spans="1:27" ht="20.100000000000001" customHeight="1" x14ac:dyDescent="0.25">
      <c r="A93" s="39">
        <v>43171</v>
      </c>
      <c r="B93" s="40" t="s">
        <v>42</v>
      </c>
      <c r="C93" s="41">
        <v>0.25800000000000001</v>
      </c>
      <c r="D93" s="42" t="s">
        <v>230</v>
      </c>
      <c r="E93" s="42" t="s">
        <v>201</v>
      </c>
      <c r="F93" s="39"/>
      <c r="G93" s="11">
        <v>100</v>
      </c>
      <c r="H93" s="11">
        <v>0</v>
      </c>
      <c r="I93" s="11">
        <v>0</v>
      </c>
      <c r="K93" s="31">
        <v>1326</v>
      </c>
      <c r="L93" s="9">
        <f t="shared" si="10"/>
        <v>0.36833333333333335</v>
      </c>
      <c r="N93" s="11">
        <v>0</v>
      </c>
      <c r="O93" s="11">
        <v>30</v>
      </c>
      <c r="P93" s="9">
        <f t="shared" si="11"/>
        <v>0.5</v>
      </c>
      <c r="Q93" s="9">
        <f t="shared" si="14"/>
        <v>0.312</v>
      </c>
      <c r="R93" s="9">
        <f t="shared" si="12"/>
        <v>0.36833333333333335</v>
      </c>
      <c r="S93" s="21">
        <v>100</v>
      </c>
      <c r="T93" s="9">
        <v>0.36833333333333335</v>
      </c>
      <c r="U93" s="9">
        <v>0.36833333333333335</v>
      </c>
      <c r="V93" s="9">
        <f t="shared" si="9"/>
        <v>0</v>
      </c>
      <c r="W93" s="9">
        <f t="shared" si="13"/>
        <v>0</v>
      </c>
      <c r="X93" s="9"/>
      <c r="Y93" s="9"/>
      <c r="Z93" s="9"/>
      <c r="AA93" s="21"/>
    </row>
    <row r="94" spans="1:27" ht="20.100000000000001" customHeight="1" x14ac:dyDescent="0.25">
      <c r="A94" s="34">
        <v>43179</v>
      </c>
      <c r="B94" s="35" t="s">
        <v>134</v>
      </c>
      <c r="C94" s="36">
        <v>0.115</v>
      </c>
      <c r="D94" s="37" t="s">
        <v>230</v>
      </c>
      <c r="E94" s="37" t="s">
        <v>198</v>
      </c>
      <c r="F94" s="34"/>
      <c r="G94" s="11">
        <v>100</v>
      </c>
      <c r="H94" s="11">
        <v>0</v>
      </c>
      <c r="I94" s="11">
        <v>0</v>
      </c>
      <c r="K94" s="31">
        <v>2106</v>
      </c>
      <c r="L94" s="9">
        <f t="shared" si="10"/>
        <v>0.58499999999999996</v>
      </c>
      <c r="N94" s="11">
        <v>0</v>
      </c>
      <c r="O94" s="11">
        <v>50</v>
      </c>
      <c r="P94" s="9">
        <f t="shared" si="11"/>
        <v>0.83333333333333337</v>
      </c>
      <c r="Q94" s="9">
        <f t="shared" si="14"/>
        <v>0.52</v>
      </c>
      <c r="R94" s="9">
        <f t="shared" si="12"/>
        <v>0.58499999999999996</v>
      </c>
      <c r="S94" s="21">
        <v>100</v>
      </c>
      <c r="T94" s="9">
        <v>0.58499999999999996</v>
      </c>
      <c r="U94" s="9">
        <v>0.58499999999999996</v>
      </c>
      <c r="V94" s="9">
        <f t="shared" si="9"/>
        <v>0</v>
      </c>
      <c r="W94" s="9">
        <f t="shared" si="13"/>
        <v>0</v>
      </c>
      <c r="X94" s="9"/>
      <c r="Y94" s="9"/>
      <c r="Z94" s="9"/>
      <c r="AA94" s="21"/>
    </row>
    <row r="95" spans="1:27" ht="20.100000000000001" customHeight="1" x14ac:dyDescent="0.25">
      <c r="A95" s="34">
        <v>43180</v>
      </c>
      <c r="B95" s="35" t="s">
        <v>135</v>
      </c>
      <c r="C95" s="36">
        <v>0.19800000000000001</v>
      </c>
      <c r="D95" s="37" t="s">
        <v>230</v>
      </c>
      <c r="E95" s="37" t="s">
        <v>13</v>
      </c>
      <c r="F95" s="34"/>
      <c r="G95" s="11">
        <v>0</v>
      </c>
      <c r="H95" s="11">
        <v>100</v>
      </c>
      <c r="I95" s="11">
        <v>0</v>
      </c>
      <c r="K95" s="31"/>
      <c r="L95" s="9">
        <f t="shared" si="10"/>
        <v>0</v>
      </c>
      <c r="N95" s="11">
        <v>1</v>
      </c>
      <c r="O95" s="11">
        <v>55</v>
      </c>
      <c r="P95" s="9">
        <f t="shared" si="11"/>
        <v>1.9166666666666665</v>
      </c>
      <c r="Q95" s="9">
        <f t="shared" si="14"/>
        <v>1.196</v>
      </c>
      <c r="R95" s="9">
        <f t="shared" si="12"/>
        <v>1.196</v>
      </c>
      <c r="S95" s="21">
        <f>100*L95/Q95</f>
        <v>0</v>
      </c>
      <c r="T95" s="9">
        <v>1.196</v>
      </c>
      <c r="U95" s="9">
        <v>0</v>
      </c>
      <c r="V95" s="9">
        <f t="shared" si="9"/>
        <v>1.196</v>
      </c>
      <c r="W95" s="9">
        <f t="shared" si="13"/>
        <v>0</v>
      </c>
      <c r="X95" s="9"/>
      <c r="Y95" s="9"/>
      <c r="Z95" s="9"/>
      <c r="AA95" s="21"/>
    </row>
    <row r="96" spans="1:27" ht="20.100000000000001" customHeight="1" x14ac:dyDescent="0.25">
      <c r="A96" s="34">
        <v>43181</v>
      </c>
      <c r="B96" s="35" t="s">
        <v>136</v>
      </c>
      <c r="C96" s="36">
        <v>0.29899999999999999</v>
      </c>
      <c r="D96" s="37" t="s">
        <v>230</v>
      </c>
      <c r="E96" s="37" t="s">
        <v>13</v>
      </c>
      <c r="F96" s="34"/>
      <c r="G96" s="11">
        <v>0</v>
      </c>
      <c r="H96" s="11">
        <v>100</v>
      </c>
      <c r="I96" s="11">
        <v>0</v>
      </c>
      <c r="K96" s="31"/>
      <c r="L96" s="9">
        <f t="shared" si="10"/>
        <v>0</v>
      </c>
      <c r="N96" s="11">
        <v>3</v>
      </c>
      <c r="O96" s="11">
        <v>0</v>
      </c>
      <c r="P96" s="9">
        <f t="shared" si="11"/>
        <v>3</v>
      </c>
      <c r="Q96" s="9">
        <f t="shared" si="14"/>
        <v>1.8719999999999999</v>
      </c>
      <c r="R96" s="9">
        <f t="shared" si="12"/>
        <v>1.8719999999999999</v>
      </c>
      <c r="S96" s="21">
        <f>100*L96/Q96</f>
        <v>0</v>
      </c>
      <c r="T96" s="9">
        <v>1.8719999999999999</v>
      </c>
      <c r="U96" s="9">
        <v>0</v>
      </c>
      <c r="V96" s="9">
        <f t="shared" si="9"/>
        <v>1.8719999999999999</v>
      </c>
      <c r="W96" s="9">
        <f t="shared" si="13"/>
        <v>0</v>
      </c>
      <c r="X96" s="9"/>
      <c r="Y96" s="9"/>
      <c r="Z96" s="9"/>
      <c r="AA96" s="21"/>
    </row>
    <row r="97" spans="1:27" ht="20.100000000000001" customHeight="1" x14ac:dyDescent="0.25">
      <c r="A97" s="34">
        <v>43182</v>
      </c>
      <c r="B97" s="35" t="s">
        <v>137</v>
      </c>
      <c r="C97" s="36">
        <v>0.41299999999999998</v>
      </c>
      <c r="D97" s="37" t="s">
        <v>222</v>
      </c>
      <c r="E97" s="38" t="s">
        <v>259</v>
      </c>
      <c r="F97" s="34"/>
      <c r="G97" s="11">
        <v>12</v>
      </c>
      <c r="H97" s="11">
        <v>88</v>
      </c>
      <c r="I97" s="11">
        <v>0</v>
      </c>
      <c r="K97" s="31">
        <v>1872</v>
      </c>
      <c r="L97" s="9">
        <f t="shared" si="10"/>
        <v>0.52</v>
      </c>
      <c r="N97" s="11">
        <v>4</v>
      </c>
      <c r="O97" s="11">
        <v>0</v>
      </c>
      <c r="P97" s="9">
        <f t="shared" si="11"/>
        <v>4</v>
      </c>
      <c r="Q97" s="9">
        <f t="shared" si="14"/>
        <v>2.496</v>
      </c>
      <c r="R97" s="9">
        <f t="shared" si="12"/>
        <v>2.496</v>
      </c>
      <c r="S97" s="21">
        <v>12</v>
      </c>
      <c r="T97" s="9">
        <v>2.496</v>
      </c>
      <c r="U97" s="9">
        <v>0.52</v>
      </c>
      <c r="V97" s="9">
        <f t="shared" si="9"/>
        <v>2.1964800000000002</v>
      </c>
      <c r="W97" s="9">
        <f t="shared" si="13"/>
        <v>0</v>
      </c>
      <c r="X97" s="9">
        <f>SUM(U91:U97)</f>
        <v>3.2744444444444443</v>
      </c>
      <c r="Y97" s="9">
        <f>100*X97/SUM(T91:T97)</f>
        <v>39.363663078032751</v>
      </c>
      <c r="Z97" s="9">
        <f>100*SUM(V91:V97)/SUM(T91:T97)</f>
        <v>63.286832474020258</v>
      </c>
      <c r="AA97" s="9">
        <f>100*SUM(W91:W97)/SUM(T91:T97)</f>
        <v>0</v>
      </c>
    </row>
    <row r="98" spans="1:27" ht="20.100000000000001" customHeight="1" x14ac:dyDescent="0.25">
      <c r="A98" s="43">
        <v>43199</v>
      </c>
      <c r="B98" s="44" t="s">
        <v>138</v>
      </c>
      <c r="C98" s="45">
        <v>0.42699999999999999</v>
      </c>
      <c r="D98" s="46" t="s">
        <v>230</v>
      </c>
      <c r="E98" s="46" t="s">
        <v>13</v>
      </c>
      <c r="F98" s="43"/>
      <c r="G98" s="47">
        <v>0</v>
      </c>
      <c r="H98" s="47">
        <v>100</v>
      </c>
      <c r="I98" s="47">
        <v>0</v>
      </c>
      <c r="J98" s="48"/>
      <c r="K98" s="49"/>
      <c r="L98" s="33">
        <f t="shared" si="10"/>
        <v>0</v>
      </c>
      <c r="M98" s="48"/>
      <c r="N98" s="47">
        <v>1</v>
      </c>
      <c r="O98" s="47">
        <v>5</v>
      </c>
      <c r="P98" s="33">
        <f t="shared" si="11"/>
        <v>1.0833333333333333</v>
      </c>
      <c r="Q98" s="33">
        <f t="shared" si="14"/>
        <v>0.67599999999999993</v>
      </c>
      <c r="R98" s="33">
        <f t="shared" si="12"/>
        <v>0.67599999999999993</v>
      </c>
      <c r="S98" s="50">
        <f>100*L98/Q98</f>
        <v>0</v>
      </c>
      <c r="T98" s="33">
        <v>0.67599999999999993</v>
      </c>
      <c r="U98" s="33">
        <v>0</v>
      </c>
      <c r="V98" s="33">
        <f t="shared" si="9"/>
        <v>0.67599999999999993</v>
      </c>
      <c r="W98" s="33">
        <f t="shared" si="13"/>
        <v>0</v>
      </c>
      <c r="X98" s="33"/>
      <c r="Y98" s="33"/>
      <c r="Z98" s="33"/>
      <c r="AA98" s="50"/>
    </row>
    <row r="99" spans="1:27" ht="20.100000000000001" customHeight="1" x14ac:dyDescent="0.25">
      <c r="A99" s="39">
        <v>43200</v>
      </c>
      <c r="B99" s="40" t="s">
        <v>139</v>
      </c>
      <c r="C99" s="41">
        <v>0.33200000000000002</v>
      </c>
      <c r="D99" s="42" t="s">
        <v>222</v>
      </c>
      <c r="E99" s="42" t="s">
        <v>19</v>
      </c>
      <c r="F99" s="39"/>
      <c r="G99" s="11">
        <v>100</v>
      </c>
      <c r="H99" s="11">
        <v>0</v>
      </c>
      <c r="I99" s="11">
        <v>0</v>
      </c>
      <c r="K99" s="9">
        <v>1285</v>
      </c>
      <c r="L99" s="9">
        <f t="shared" si="10"/>
        <v>0.35694444444444445</v>
      </c>
      <c r="N99" s="11">
        <v>0</v>
      </c>
      <c r="O99" s="11">
        <v>30</v>
      </c>
      <c r="P99" s="9">
        <f t="shared" si="11"/>
        <v>0.5</v>
      </c>
      <c r="Q99" s="9">
        <f t="shared" si="14"/>
        <v>0.312</v>
      </c>
      <c r="R99" s="9">
        <f t="shared" si="12"/>
        <v>0.35694444444444445</v>
      </c>
      <c r="S99" s="21">
        <v>100</v>
      </c>
      <c r="T99" s="9">
        <v>0.35694444444444445</v>
      </c>
      <c r="U99" s="9">
        <v>0.35694444444444445</v>
      </c>
      <c r="V99" s="9">
        <f t="shared" si="9"/>
        <v>0</v>
      </c>
      <c r="W99" s="9">
        <f t="shared" si="13"/>
        <v>0</v>
      </c>
      <c r="X99" s="9"/>
      <c r="Y99" s="9"/>
      <c r="Z99" s="9"/>
      <c r="AA99" s="21"/>
    </row>
    <row r="100" spans="1:27" ht="20.100000000000001" customHeight="1" x14ac:dyDescent="0.25">
      <c r="A100" s="34">
        <v>43209</v>
      </c>
      <c r="B100" s="35" t="s">
        <v>140</v>
      </c>
      <c r="C100" s="36">
        <v>0.16600000000000001</v>
      </c>
      <c r="D100" s="37" t="s">
        <v>230</v>
      </c>
      <c r="E100" s="37" t="s">
        <v>201</v>
      </c>
      <c r="F100" s="34"/>
      <c r="G100" s="11">
        <v>100</v>
      </c>
      <c r="H100" s="11">
        <v>0</v>
      </c>
      <c r="I100" s="11">
        <v>0</v>
      </c>
      <c r="K100" s="9">
        <v>3091</v>
      </c>
      <c r="L100" s="9">
        <f t="shared" si="10"/>
        <v>0.8586111111111111</v>
      </c>
      <c r="N100" s="11">
        <v>1</v>
      </c>
      <c r="O100" s="11">
        <v>25</v>
      </c>
      <c r="P100" s="9">
        <f t="shared" si="11"/>
        <v>1.4166666666666667</v>
      </c>
      <c r="Q100" s="9">
        <f t="shared" si="14"/>
        <v>0.88400000000000001</v>
      </c>
      <c r="R100" s="9">
        <f t="shared" si="12"/>
        <v>0.8586111111111111</v>
      </c>
      <c r="S100" s="21">
        <v>100</v>
      </c>
      <c r="T100" s="9">
        <v>0.8586111111111111</v>
      </c>
      <c r="U100" s="9">
        <v>0.8586111111111111</v>
      </c>
      <c r="V100" s="9">
        <f t="shared" si="9"/>
        <v>0</v>
      </c>
      <c r="W100" s="9">
        <f t="shared" si="13"/>
        <v>0</v>
      </c>
      <c r="X100" s="9"/>
      <c r="Y100" s="9"/>
      <c r="Z100" s="9"/>
      <c r="AA100" s="21"/>
    </row>
    <row r="101" spans="1:27" ht="20.100000000000001" customHeight="1" x14ac:dyDescent="0.25">
      <c r="A101" s="34">
        <v>43210</v>
      </c>
      <c r="B101" s="35" t="s">
        <v>141</v>
      </c>
      <c r="C101" s="36">
        <v>0.27</v>
      </c>
      <c r="D101" s="37" t="s">
        <v>230</v>
      </c>
      <c r="E101" s="37" t="s">
        <v>13</v>
      </c>
      <c r="F101" s="34"/>
      <c r="G101" s="11">
        <v>0</v>
      </c>
      <c r="H101" s="11">
        <v>100</v>
      </c>
      <c r="I101" s="11">
        <v>0</v>
      </c>
      <c r="K101" s="31"/>
      <c r="L101" s="9">
        <f t="shared" si="10"/>
        <v>0</v>
      </c>
      <c r="N101" s="11">
        <v>2</v>
      </c>
      <c r="O101" s="11">
        <v>30</v>
      </c>
      <c r="P101" s="9">
        <f t="shared" si="11"/>
        <v>2.5</v>
      </c>
      <c r="Q101" s="9">
        <f t="shared" si="14"/>
        <v>1.56</v>
      </c>
      <c r="R101" s="9">
        <f t="shared" si="12"/>
        <v>1.56</v>
      </c>
      <c r="S101" s="21">
        <f>100*L101/Q101</f>
        <v>0</v>
      </c>
      <c r="T101" s="9">
        <v>1.56</v>
      </c>
      <c r="U101" s="9">
        <v>0</v>
      </c>
      <c r="V101" s="9">
        <f t="shared" si="9"/>
        <v>1.56</v>
      </c>
      <c r="W101" s="9">
        <f t="shared" si="13"/>
        <v>0</v>
      </c>
      <c r="X101" s="9"/>
      <c r="Y101" s="9"/>
      <c r="Z101" s="9"/>
      <c r="AA101" s="21"/>
    </row>
    <row r="102" spans="1:27" ht="20.100000000000001" customHeight="1" x14ac:dyDescent="0.25">
      <c r="A102" s="34">
        <v>43211</v>
      </c>
      <c r="B102" s="35" t="s">
        <v>142</v>
      </c>
      <c r="C102" s="36">
        <v>0.38300000000000001</v>
      </c>
      <c r="D102" s="37" t="s">
        <v>230</v>
      </c>
      <c r="E102" s="37" t="s">
        <v>201</v>
      </c>
      <c r="F102" s="34" t="s">
        <v>261</v>
      </c>
      <c r="G102" s="11">
        <v>100</v>
      </c>
      <c r="H102" s="11">
        <v>0</v>
      </c>
      <c r="I102" s="11">
        <v>0</v>
      </c>
      <c r="K102" s="9">
        <v>6848</v>
      </c>
      <c r="L102" s="9">
        <f t="shared" si="10"/>
        <v>1.9022222222222223</v>
      </c>
      <c r="N102" s="11">
        <v>3</v>
      </c>
      <c r="O102" s="11">
        <v>30</v>
      </c>
      <c r="P102" s="9">
        <f t="shared" si="11"/>
        <v>3.5</v>
      </c>
      <c r="Q102" s="9">
        <f t="shared" si="14"/>
        <v>2.1840000000000002</v>
      </c>
      <c r="R102" s="9">
        <f t="shared" si="12"/>
        <v>1.9022222222222223</v>
      </c>
      <c r="S102" s="21">
        <v>100</v>
      </c>
      <c r="T102" s="9">
        <v>1.9022222222222223</v>
      </c>
      <c r="U102" s="9">
        <v>1.9022222222222223</v>
      </c>
      <c r="V102" s="9">
        <f t="shared" si="9"/>
        <v>0</v>
      </c>
      <c r="W102" s="9">
        <f t="shared" si="13"/>
        <v>0</v>
      </c>
      <c r="X102" s="9">
        <f>SUM(U98:U102)</f>
        <v>3.1177777777777775</v>
      </c>
      <c r="Y102" s="9">
        <f>100*X102/SUM(T98:T102)</f>
        <v>58.235098787979403</v>
      </c>
      <c r="Z102" s="9">
        <f>100*SUM(V98:V102)/SUM(T98:T102)</f>
        <v>41.764901212020575</v>
      </c>
      <c r="AA102" s="9">
        <f>100*SUM(W98:W102)/SUM(T98:T102)</f>
        <v>0</v>
      </c>
    </row>
    <row r="103" spans="1:27" ht="20.100000000000001" customHeight="1" x14ac:dyDescent="0.25">
      <c r="A103" s="43">
        <v>43229</v>
      </c>
      <c r="B103" s="44" t="s">
        <v>143</v>
      </c>
      <c r="C103" s="45">
        <v>0.40600000000000003</v>
      </c>
      <c r="D103" s="46" t="s">
        <v>230</v>
      </c>
      <c r="E103" s="46" t="s">
        <v>201</v>
      </c>
      <c r="F103" s="43"/>
      <c r="G103" s="47">
        <v>100</v>
      </c>
      <c r="H103" s="47">
        <v>0</v>
      </c>
      <c r="I103" s="47">
        <v>0</v>
      </c>
      <c r="J103" s="48"/>
      <c r="K103" s="33">
        <v>2062</v>
      </c>
      <c r="L103" s="33">
        <f t="shared" si="10"/>
        <v>0.57277777777777783</v>
      </c>
      <c r="M103" s="48"/>
      <c r="N103" s="47">
        <v>0</v>
      </c>
      <c r="O103" s="47">
        <v>50</v>
      </c>
      <c r="P103" s="33">
        <f t="shared" si="11"/>
        <v>0.83333333333333337</v>
      </c>
      <c r="Q103" s="33">
        <f t="shared" si="14"/>
        <v>0.52</v>
      </c>
      <c r="R103" s="33">
        <f t="shared" si="12"/>
        <v>0.57277777777777783</v>
      </c>
      <c r="S103" s="50">
        <v>100</v>
      </c>
      <c r="T103" s="33">
        <v>0.57277777777777783</v>
      </c>
      <c r="U103" s="33">
        <v>0.57277777777777783</v>
      </c>
      <c r="V103" s="33">
        <f t="shared" si="9"/>
        <v>0</v>
      </c>
      <c r="W103" s="33">
        <f t="shared" si="13"/>
        <v>0</v>
      </c>
      <c r="X103" s="33"/>
      <c r="Y103" s="33"/>
      <c r="Z103" s="33"/>
      <c r="AA103" s="50"/>
    </row>
    <row r="104" spans="1:27" ht="20.100000000000001" customHeight="1" x14ac:dyDescent="0.25">
      <c r="A104" s="39">
        <v>43230</v>
      </c>
      <c r="B104" s="40" t="s">
        <v>144</v>
      </c>
      <c r="C104" s="41">
        <v>0.309</v>
      </c>
      <c r="D104" s="42" t="s">
        <v>230</v>
      </c>
      <c r="E104" s="42" t="s">
        <v>199</v>
      </c>
      <c r="F104" s="39" t="s">
        <v>225</v>
      </c>
      <c r="G104" s="11">
        <v>30</v>
      </c>
      <c r="H104" s="11">
        <v>70</v>
      </c>
      <c r="I104" s="11">
        <v>0</v>
      </c>
      <c r="K104" s="9">
        <v>194</v>
      </c>
      <c r="L104" s="9">
        <f t="shared" si="10"/>
        <v>5.3888888888888889E-2</v>
      </c>
      <c r="N104" s="11">
        <v>0</v>
      </c>
      <c r="O104" s="11">
        <v>20</v>
      </c>
      <c r="P104" s="9">
        <f t="shared" si="11"/>
        <v>0.33333333333333331</v>
      </c>
      <c r="Q104" s="9">
        <f t="shared" si="14"/>
        <v>0.20799999999999999</v>
      </c>
      <c r="R104" s="9">
        <f t="shared" si="12"/>
        <v>0.20799999999999999</v>
      </c>
      <c r="S104" s="21">
        <f>100*L104/Q104</f>
        <v>25.908119658119663</v>
      </c>
      <c r="T104" s="9">
        <v>0.20799999999999999</v>
      </c>
      <c r="U104" s="9">
        <v>5.3888888888888889E-2</v>
      </c>
      <c r="V104" s="9">
        <f t="shared" si="9"/>
        <v>0.14559999999999998</v>
      </c>
      <c r="W104" s="9">
        <f t="shared" si="13"/>
        <v>0</v>
      </c>
      <c r="X104" s="9"/>
      <c r="Y104" s="9"/>
      <c r="Z104" s="9"/>
      <c r="AA104" s="21"/>
    </row>
    <row r="105" spans="1:27" ht="20.100000000000001" customHeight="1" x14ac:dyDescent="0.25">
      <c r="A105" s="34">
        <v>43238</v>
      </c>
      <c r="B105" s="35" t="s">
        <v>145</v>
      </c>
      <c r="C105" s="36">
        <v>0.14699999999999999</v>
      </c>
      <c r="D105" s="37" t="s">
        <v>230</v>
      </c>
      <c r="E105" s="37" t="s">
        <v>13</v>
      </c>
      <c r="F105" s="34"/>
      <c r="G105" s="11">
        <v>0</v>
      </c>
      <c r="H105" s="11">
        <v>100</v>
      </c>
      <c r="I105" s="11">
        <v>0</v>
      </c>
      <c r="K105" s="31"/>
      <c r="L105" s="9">
        <f t="shared" si="10"/>
        <v>0</v>
      </c>
      <c r="N105" s="11">
        <v>0</v>
      </c>
      <c r="O105" s="11">
        <v>55</v>
      </c>
      <c r="P105" s="9">
        <f t="shared" si="11"/>
        <v>0.91666666666666663</v>
      </c>
      <c r="Q105" s="9">
        <f t="shared" si="14"/>
        <v>0.57199999999999995</v>
      </c>
      <c r="R105" s="9">
        <f t="shared" si="12"/>
        <v>0.57199999999999995</v>
      </c>
      <c r="S105" s="21">
        <f>100*L105/Q105</f>
        <v>0</v>
      </c>
      <c r="T105" s="9">
        <v>0.57199999999999995</v>
      </c>
      <c r="U105" s="9">
        <v>0</v>
      </c>
      <c r="V105" s="9">
        <f t="shared" si="9"/>
        <v>0.57199999999999995</v>
      </c>
      <c r="W105" s="9">
        <f t="shared" si="13"/>
        <v>0</v>
      </c>
      <c r="X105" s="9"/>
      <c r="Y105" s="9"/>
      <c r="Z105" s="9"/>
      <c r="AA105" s="21"/>
    </row>
    <row r="106" spans="1:27" ht="20.100000000000001" customHeight="1" x14ac:dyDescent="0.25">
      <c r="A106" s="34">
        <v>43239</v>
      </c>
      <c r="B106" s="35" t="s">
        <v>146</v>
      </c>
      <c r="C106" s="36">
        <v>0.24399999999999999</v>
      </c>
      <c r="D106" s="37" t="s">
        <v>230</v>
      </c>
      <c r="E106" s="37" t="s">
        <v>198</v>
      </c>
      <c r="F106" s="34" t="s">
        <v>225</v>
      </c>
      <c r="G106" s="11">
        <v>10</v>
      </c>
      <c r="H106" s="11">
        <v>90</v>
      </c>
      <c r="I106" s="11">
        <v>0</v>
      </c>
      <c r="K106" s="9">
        <v>699</v>
      </c>
      <c r="L106" s="9">
        <f t="shared" si="10"/>
        <v>0.19416666666666665</v>
      </c>
      <c r="N106" s="11">
        <v>1</v>
      </c>
      <c r="O106" s="11">
        <v>55</v>
      </c>
      <c r="P106" s="9">
        <f t="shared" si="11"/>
        <v>1.9166666666666665</v>
      </c>
      <c r="Q106" s="9">
        <f t="shared" si="14"/>
        <v>1.196</v>
      </c>
      <c r="R106" s="9">
        <f t="shared" si="12"/>
        <v>1.196</v>
      </c>
      <c r="S106" s="21">
        <f>100*L106/Q106</f>
        <v>16.234671125975474</v>
      </c>
      <c r="T106" s="9">
        <v>1.196</v>
      </c>
      <c r="U106" s="9">
        <v>0.19416666666666665</v>
      </c>
      <c r="V106" s="9">
        <f t="shared" si="9"/>
        <v>1.0764</v>
      </c>
      <c r="W106" s="9">
        <f t="shared" si="13"/>
        <v>0</v>
      </c>
      <c r="X106" s="9"/>
      <c r="Y106" s="9"/>
      <c r="Z106" s="9"/>
      <c r="AA106" s="21"/>
    </row>
    <row r="107" spans="1:27" ht="20.100000000000001" customHeight="1" x14ac:dyDescent="0.25">
      <c r="A107" s="34">
        <v>43240</v>
      </c>
      <c r="B107" s="35" t="s">
        <v>147</v>
      </c>
      <c r="C107" s="36">
        <v>0.35499999999999998</v>
      </c>
      <c r="D107" s="37" t="s">
        <v>230</v>
      </c>
      <c r="E107" s="37" t="s">
        <v>198</v>
      </c>
      <c r="F107" s="34" t="s">
        <v>269</v>
      </c>
      <c r="G107" s="11">
        <v>50</v>
      </c>
      <c r="H107" s="11">
        <v>50</v>
      </c>
      <c r="I107" s="11">
        <v>0</v>
      </c>
      <c r="K107" s="9">
        <v>2726</v>
      </c>
      <c r="L107" s="9">
        <f t="shared" si="10"/>
        <v>0.75722222222222224</v>
      </c>
      <c r="N107" s="11">
        <v>2</v>
      </c>
      <c r="O107" s="11">
        <v>45</v>
      </c>
      <c r="P107" s="9">
        <f t="shared" si="11"/>
        <v>2.75</v>
      </c>
      <c r="Q107" s="9">
        <f t="shared" si="14"/>
        <v>1.716</v>
      </c>
      <c r="R107" s="9">
        <f t="shared" si="12"/>
        <v>1.716</v>
      </c>
      <c r="S107" s="21">
        <f>100*L107/Q107</f>
        <v>44.127169127169132</v>
      </c>
      <c r="T107" s="9">
        <v>1.716</v>
      </c>
      <c r="U107" s="9">
        <v>0.75722222222222224</v>
      </c>
      <c r="V107" s="9">
        <f t="shared" si="9"/>
        <v>0.85799999999999998</v>
      </c>
      <c r="W107" s="9">
        <f t="shared" si="13"/>
        <v>0</v>
      </c>
      <c r="X107" s="9"/>
      <c r="Y107" s="9"/>
      <c r="Z107" s="9"/>
      <c r="AA107" s="21"/>
    </row>
    <row r="108" spans="1:27" ht="20.100000000000001" customHeight="1" x14ac:dyDescent="0.25">
      <c r="A108" s="34">
        <v>43241</v>
      </c>
      <c r="B108" s="35" t="s">
        <v>267</v>
      </c>
      <c r="C108" s="36">
        <v>0.46</v>
      </c>
      <c r="D108" s="37" t="s">
        <v>230</v>
      </c>
      <c r="E108" s="37" t="s">
        <v>198</v>
      </c>
      <c r="F108" s="52" t="s">
        <v>270</v>
      </c>
      <c r="G108" s="11">
        <v>45</v>
      </c>
      <c r="H108" s="11">
        <v>55</v>
      </c>
      <c r="I108" s="11">
        <v>0</v>
      </c>
      <c r="K108" s="9">
        <v>4012</v>
      </c>
      <c r="L108" s="9">
        <f t="shared" si="10"/>
        <v>1.1144444444444443</v>
      </c>
      <c r="N108" s="11">
        <v>3</v>
      </c>
      <c r="O108" s="11">
        <v>30</v>
      </c>
      <c r="P108" s="9">
        <f t="shared" si="11"/>
        <v>3.5</v>
      </c>
      <c r="Q108" s="9">
        <f t="shared" si="14"/>
        <v>2.1840000000000002</v>
      </c>
      <c r="R108" s="9">
        <f t="shared" si="12"/>
        <v>2.1840000000000002</v>
      </c>
      <c r="S108" s="21">
        <f>100*L108/Q108</f>
        <v>51.027676027676016</v>
      </c>
      <c r="T108" s="9">
        <v>2.1840000000000002</v>
      </c>
      <c r="U108" s="9">
        <v>1.1144444444444443</v>
      </c>
      <c r="V108" s="9">
        <f t="shared" si="9"/>
        <v>1.2012000000000003</v>
      </c>
      <c r="W108" s="9">
        <f t="shared" si="13"/>
        <v>0</v>
      </c>
      <c r="X108" s="9">
        <f>SUM(U103:U108)</f>
        <v>2.6924999999999999</v>
      </c>
      <c r="Y108" s="9">
        <f>100*X108/SUM(T103:T108)</f>
        <v>41.752097727390201</v>
      </c>
      <c r="Z108" s="9">
        <f>100*SUM(V103:V108)/SUM(T103:T108)</f>
        <v>59.750857182239528</v>
      </c>
      <c r="AA108" s="9">
        <f>100*SUM(W103:W108)/SUM(T103:T108)</f>
        <v>0</v>
      </c>
    </row>
    <row r="109" spans="1:27" ht="20.100000000000001" customHeight="1" x14ac:dyDescent="0.25">
      <c r="A109" s="43">
        <v>43259</v>
      </c>
      <c r="B109" s="44" t="s">
        <v>148</v>
      </c>
      <c r="C109" s="45">
        <v>0.373</v>
      </c>
      <c r="D109" s="46" t="s">
        <v>230</v>
      </c>
      <c r="E109" s="46" t="s">
        <v>216</v>
      </c>
      <c r="F109" s="43"/>
      <c r="G109" s="47">
        <v>100</v>
      </c>
      <c r="H109" s="47">
        <v>0</v>
      </c>
      <c r="I109" s="47">
        <v>0</v>
      </c>
      <c r="J109" s="48"/>
      <c r="K109" s="33">
        <v>1922</v>
      </c>
      <c r="L109" s="33">
        <f t="shared" si="10"/>
        <v>0.53388888888888886</v>
      </c>
      <c r="M109" s="48"/>
      <c r="N109" s="47">
        <v>1</v>
      </c>
      <c r="O109" s="47">
        <v>0</v>
      </c>
      <c r="P109" s="33">
        <f t="shared" si="11"/>
        <v>1</v>
      </c>
      <c r="Q109" s="33">
        <f t="shared" si="14"/>
        <v>0.624</v>
      </c>
      <c r="R109" s="33">
        <f t="shared" si="12"/>
        <v>0.53388888888888886</v>
      </c>
      <c r="S109" s="50">
        <v>100</v>
      </c>
      <c r="T109" s="33">
        <v>0.53388888888888886</v>
      </c>
      <c r="U109" s="33">
        <v>0.53388888888888886</v>
      </c>
      <c r="V109" s="33">
        <f t="shared" si="9"/>
        <v>0</v>
      </c>
      <c r="W109" s="33">
        <f t="shared" si="13"/>
        <v>0</v>
      </c>
      <c r="X109" s="33"/>
      <c r="Y109" s="33"/>
      <c r="Z109" s="33"/>
      <c r="AA109" s="50"/>
    </row>
    <row r="110" spans="1:27" ht="20.100000000000001" customHeight="1" x14ac:dyDescent="0.25">
      <c r="A110" s="39">
        <v>43260</v>
      </c>
      <c r="B110" s="40" t="s">
        <v>80</v>
      </c>
      <c r="C110" s="41">
        <v>0.27300000000000002</v>
      </c>
      <c r="D110" s="42" t="s">
        <v>222</v>
      </c>
      <c r="E110" s="42" t="s">
        <v>201</v>
      </c>
      <c r="F110" s="39"/>
      <c r="G110" s="11">
        <v>100</v>
      </c>
      <c r="H110" s="11">
        <v>0</v>
      </c>
      <c r="I110" s="11">
        <v>0</v>
      </c>
      <c r="K110" s="9">
        <v>1257</v>
      </c>
      <c r="L110" s="9">
        <f t="shared" si="10"/>
        <v>0.34916666666666668</v>
      </c>
      <c r="N110" s="11">
        <v>0</v>
      </c>
      <c r="O110" s="11">
        <v>35</v>
      </c>
      <c r="P110" s="9">
        <f t="shared" si="11"/>
        <v>0.58333333333333337</v>
      </c>
      <c r="Q110" s="9">
        <f t="shared" si="14"/>
        <v>0.36400000000000005</v>
      </c>
      <c r="R110" s="9">
        <f t="shared" si="12"/>
        <v>0.34916666666666668</v>
      </c>
      <c r="S110" s="21">
        <v>100</v>
      </c>
      <c r="T110" s="9">
        <v>0.34916666666666668</v>
      </c>
      <c r="U110" s="9">
        <v>0.34916666666666668</v>
      </c>
      <c r="V110" s="9">
        <f t="shared" si="9"/>
        <v>0</v>
      </c>
      <c r="W110" s="9">
        <f t="shared" si="13"/>
        <v>0</v>
      </c>
      <c r="X110" s="9"/>
      <c r="Y110" s="9"/>
      <c r="Z110" s="9"/>
      <c r="AA110" s="21"/>
    </row>
    <row r="111" spans="1:27" ht="20.100000000000001" customHeight="1" x14ac:dyDescent="0.25">
      <c r="A111" s="34">
        <v>43268</v>
      </c>
      <c r="B111" s="35" t="s">
        <v>149</v>
      </c>
      <c r="C111" s="36">
        <v>0.218</v>
      </c>
      <c r="D111" s="37" t="s">
        <v>230</v>
      </c>
      <c r="E111" s="37" t="s">
        <v>13</v>
      </c>
      <c r="F111" s="35"/>
      <c r="G111" s="11">
        <v>0</v>
      </c>
      <c r="H111" s="11">
        <v>100</v>
      </c>
      <c r="I111" s="11">
        <v>0</v>
      </c>
      <c r="L111" s="9">
        <f t="shared" si="10"/>
        <v>0</v>
      </c>
      <c r="N111" s="11">
        <v>1</v>
      </c>
      <c r="O111" s="11">
        <v>5</v>
      </c>
      <c r="P111" s="9">
        <f t="shared" si="11"/>
        <v>1.0833333333333333</v>
      </c>
      <c r="Q111" s="9">
        <f t="shared" si="14"/>
        <v>0.67599999999999993</v>
      </c>
      <c r="R111" s="9">
        <f t="shared" si="12"/>
        <v>0.67599999999999993</v>
      </c>
      <c r="S111" s="21">
        <f>100*L111/Q111</f>
        <v>0</v>
      </c>
      <c r="T111" s="9">
        <f>R111</f>
        <v>0.67599999999999993</v>
      </c>
      <c r="U111" s="9">
        <f>L111</f>
        <v>0</v>
      </c>
      <c r="V111" s="9">
        <f t="shared" si="9"/>
        <v>0.67599999999999993</v>
      </c>
      <c r="W111" s="9">
        <f t="shared" si="13"/>
        <v>0</v>
      </c>
    </row>
    <row r="112" spans="1:27" ht="20.100000000000001" customHeight="1" x14ac:dyDescent="0.25">
      <c r="A112" s="34">
        <v>43269</v>
      </c>
      <c r="B112" s="35" t="s">
        <v>40</v>
      </c>
      <c r="C112" s="36">
        <v>0.32400000000000001</v>
      </c>
      <c r="D112" s="37" t="s">
        <v>272</v>
      </c>
      <c r="E112" s="37" t="s">
        <v>199</v>
      </c>
      <c r="F112" s="34" t="s">
        <v>253</v>
      </c>
      <c r="G112" s="11">
        <v>65</v>
      </c>
      <c r="H112" s="11">
        <v>35</v>
      </c>
      <c r="I112" s="11">
        <v>0</v>
      </c>
      <c r="K112" s="11">
        <v>3030</v>
      </c>
      <c r="L112" s="9">
        <f t="shared" si="10"/>
        <v>0.84166666666666667</v>
      </c>
      <c r="N112" s="11">
        <v>1</v>
      </c>
      <c r="O112" s="11">
        <v>50</v>
      </c>
      <c r="P112" s="9">
        <f t="shared" si="11"/>
        <v>1.8333333333333335</v>
      </c>
      <c r="Q112" s="9">
        <f t="shared" si="14"/>
        <v>1.1440000000000001</v>
      </c>
      <c r="R112" s="9">
        <f t="shared" si="12"/>
        <v>1.1440000000000001</v>
      </c>
      <c r="S112" s="21">
        <f t="shared" ref="S112:S180" si="17">100*L112/Q112</f>
        <v>73.572261072261071</v>
      </c>
      <c r="T112" s="9">
        <f t="shared" ref="T112:T180" si="18">R112</f>
        <v>1.1440000000000001</v>
      </c>
      <c r="U112" s="9">
        <f t="shared" ref="U112:U176" si="19">L112</f>
        <v>0.84166666666666667</v>
      </c>
      <c r="V112" s="9">
        <f t="shared" si="9"/>
        <v>0.40040000000000003</v>
      </c>
      <c r="W112" s="9">
        <f t="shared" si="13"/>
        <v>0</v>
      </c>
    </row>
    <row r="113" spans="1:27" ht="20.100000000000001" customHeight="1" x14ac:dyDescent="0.25">
      <c r="A113" s="34">
        <v>43270</v>
      </c>
      <c r="B113" s="35" t="s">
        <v>150</v>
      </c>
      <c r="C113" s="36">
        <v>0.438</v>
      </c>
      <c r="D113" s="37" t="s">
        <v>273</v>
      </c>
      <c r="E113" s="37" t="s">
        <v>199</v>
      </c>
      <c r="F113" s="34" t="s">
        <v>274</v>
      </c>
      <c r="G113" s="11">
        <v>55</v>
      </c>
      <c r="H113" s="11">
        <v>45</v>
      </c>
      <c r="I113" s="11">
        <v>0</v>
      </c>
      <c r="K113" s="11">
        <v>3445</v>
      </c>
      <c r="L113" s="9">
        <f t="shared" si="10"/>
        <v>0.95694444444444449</v>
      </c>
      <c r="N113" s="11">
        <v>2</v>
      </c>
      <c r="O113" s="11">
        <v>25</v>
      </c>
      <c r="P113" s="9">
        <f t="shared" si="11"/>
        <v>2.4166666666666665</v>
      </c>
      <c r="Q113" s="9">
        <f t="shared" si="14"/>
        <v>1.508</v>
      </c>
      <c r="R113" s="9">
        <f t="shared" si="12"/>
        <v>1.508</v>
      </c>
      <c r="S113" s="21">
        <f t="shared" si="17"/>
        <v>63.457854406130267</v>
      </c>
      <c r="T113" s="9">
        <f t="shared" si="18"/>
        <v>1.508</v>
      </c>
      <c r="U113" s="9">
        <f t="shared" si="19"/>
        <v>0.95694444444444449</v>
      </c>
      <c r="V113" s="9">
        <f t="shared" si="9"/>
        <v>0.67859999999999998</v>
      </c>
      <c r="W113" s="9">
        <f t="shared" si="13"/>
        <v>0</v>
      </c>
      <c r="X113" s="9">
        <f>SUM(U109:U113)</f>
        <v>2.6816666666666666</v>
      </c>
      <c r="Y113" s="9">
        <f>100*X113/SUM(T109:T113)</f>
        <v>63.681578912650572</v>
      </c>
      <c r="Z113" s="9">
        <f>100*SUM(V109:V113)/SUM(T109:T113)</f>
        <v>41.676011556880702</v>
      </c>
      <c r="AA113" s="9">
        <f>100*SUM(W109:W113)/SUM(T109:T113)</f>
        <v>0</v>
      </c>
    </row>
    <row r="114" spans="1:27" ht="20.100000000000001" customHeight="1" x14ac:dyDescent="0.25">
      <c r="A114" s="43">
        <v>43288</v>
      </c>
      <c r="B114" s="44" t="s">
        <v>151</v>
      </c>
      <c r="C114" s="45">
        <v>0.42899999999999999</v>
      </c>
      <c r="D114" s="46" t="s">
        <v>230</v>
      </c>
      <c r="E114" s="46" t="s">
        <v>216</v>
      </c>
      <c r="F114" s="43" t="s">
        <v>276</v>
      </c>
      <c r="G114" s="47">
        <v>100</v>
      </c>
      <c r="H114" s="47">
        <v>0</v>
      </c>
      <c r="I114" s="47">
        <v>0</v>
      </c>
      <c r="J114" s="48"/>
      <c r="K114" s="47">
        <v>4702</v>
      </c>
      <c r="L114" s="33">
        <f t="shared" si="10"/>
        <v>1.306111111111111</v>
      </c>
      <c r="M114" s="48"/>
      <c r="N114" s="47">
        <v>2</v>
      </c>
      <c r="O114" s="47">
        <v>15</v>
      </c>
      <c r="P114" s="33">
        <f t="shared" si="11"/>
        <v>2.25</v>
      </c>
      <c r="Q114" s="33">
        <f t="shared" si="14"/>
        <v>1.4039999999999999</v>
      </c>
      <c r="R114" s="33">
        <f t="shared" si="12"/>
        <v>1.306111111111111</v>
      </c>
      <c r="S114" s="50">
        <f t="shared" si="17"/>
        <v>93.02785691674579</v>
      </c>
      <c r="T114" s="33">
        <f t="shared" si="18"/>
        <v>1.306111111111111</v>
      </c>
      <c r="U114" s="33">
        <f t="shared" si="19"/>
        <v>1.306111111111111</v>
      </c>
      <c r="V114" s="33">
        <f t="shared" si="9"/>
        <v>0</v>
      </c>
      <c r="W114" s="33">
        <f t="shared" si="13"/>
        <v>0</v>
      </c>
      <c r="X114" s="48"/>
      <c r="Y114" s="48"/>
      <c r="Z114" s="48"/>
      <c r="AA114" s="48"/>
    </row>
    <row r="115" spans="1:27" ht="20.100000000000001" customHeight="1" x14ac:dyDescent="0.25">
      <c r="A115" s="39">
        <v>43289</v>
      </c>
      <c r="B115" s="40" t="s">
        <v>41</v>
      </c>
      <c r="C115" s="41">
        <v>0.32300000000000001</v>
      </c>
      <c r="D115" s="42" t="s">
        <v>230</v>
      </c>
      <c r="E115" s="42" t="s">
        <v>216</v>
      </c>
      <c r="F115" s="39"/>
      <c r="G115" s="11">
        <v>100</v>
      </c>
      <c r="H115" s="11">
        <v>0</v>
      </c>
      <c r="I115" s="11">
        <v>0</v>
      </c>
      <c r="K115" s="11">
        <v>3478</v>
      </c>
      <c r="L115" s="9">
        <f t="shared" si="10"/>
        <v>0.96611111111111114</v>
      </c>
      <c r="N115" s="11">
        <v>1</v>
      </c>
      <c r="O115" s="11">
        <v>40</v>
      </c>
      <c r="P115" s="9">
        <f t="shared" si="11"/>
        <v>1.6666666666666665</v>
      </c>
      <c r="Q115" s="9">
        <f t="shared" si="14"/>
        <v>1.0399999999999998</v>
      </c>
      <c r="R115" s="9">
        <f t="shared" si="12"/>
        <v>0.96611111111111114</v>
      </c>
      <c r="S115" s="21">
        <f t="shared" si="17"/>
        <v>92.895299145299163</v>
      </c>
      <c r="T115" s="9">
        <f t="shared" si="18"/>
        <v>0.96611111111111114</v>
      </c>
      <c r="U115" s="9">
        <f t="shared" si="19"/>
        <v>0.96611111111111114</v>
      </c>
      <c r="V115" s="9">
        <f t="shared" si="9"/>
        <v>0</v>
      </c>
      <c r="W115" s="9">
        <f t="shared" si="13"/>
        <v>0</v>
      </c>
    </row>
    <row r="116" spans="1:27" ht="20.100000000000001" customHeight="1" x14ac:dyDescent="0.25">
      <c r="A116" s="39">
        <v>43290</v>
      </c>
      <c r="B116" s="40" t="s">
        <v>152</v>
      </c>
      <c r="C116" s="41">
        <v>0.221</v>
      </c>
      <c r="D116" s="42" t="s">
        <v>222</v>
      </c>
      <c r="E116" s="42" t="s">
        <v>198</v>
      </c>
      <c r="F116" s="39"/>
      <c r="G116" s="11">
        <v>100</v>
      </c>
      <c r="H116" s="11">
        <v>0</v>
      </c>
      <c r="I116" s="11">
        <v>0</v>
      </c>
      <c r="K116" s="11">
        <v>2399.5</v>
      </c>
      <c r="L116" s="9">
        <f t="shared" si="10"/>
        <v>0.66652777777777783</v>
      </c>
      <c r="N116" s="11">
        <v>1</v>
      </c>
      <c r="O116" s="11">
        <v>5</v>
      </c>
      <c r="P116" s="9">
        <f t="shared" si="11"/>
        <v>1.0833333333333333</v>
      </c>
      <c r="Q116" s="9">
        <f t="shared" si="14"/>
        <v>0.67599999999999993</v>
      </c>
      <c r="R116" s="9">
        <f t="shared" si="12"/>
        <v>0.66652777777777783</v>
      </c>
      <c r="S116" s="21">
        <f t="shared" si="17"/>
        <v>98.598783694937566</v>
      </c>
      <c r="T116" s="9">
        <f t="shared" si="18"/>
        <v>0.66652777777777783</v>
      </c>
      <c r="U116" s="9">
        <f t="shared" si="19"/>
        <v>0.66652777777777783</v>
      </c>
      <c r="V116" s="9">
        <f t="shared" si="9"/>
        <v>0</v>
      </c>
      <c r="W116" s="9">
        <f t="shared" si="13"/>
        <v>0</v>
      </c>
    </row>
    <row r="117" spans="1:27" ht="20.100000000000001" customHeight="1" x14ac:dyDescent="0.25">
      <c r="A117" s="34">
        <v>43297</v>
      </c>
      <c r="B117" s="35" t="s">
        <v>153</v>
      </c>
      <c r="C117" s="36">
        <v>0.188</v>
      </c>
      <c r="D117" s="37" t="s">
        <v>230</v>
      </c>
      <c r="E117" s="37" t="s">
        <v>201</v>
      </c>
      <c r="F117" s="34"/>
      <c r="G117" s="11">
        <v>100</v>
      </c>
      <c r="H117" s="11">
        <v>0</v>
      </c>
      <c r="I117" s="11">
        <v>0</v>
      </c>
      <c r="K117" s="11">
        <v>1440</v>
      </c>
      <c r="L117" s="9">
        <f t="shared" si="10"/>
        <v>0.4</v>
      </c>
      <c r="N117" s="11">
        <v>0</v>
      </c>
      <c r="O117" s="11">
        <v>30</v>
      </c>
      <c r="P117" s="9">
        <f t="shared" si="11"/>
        <v>0.5</v>
      </c>
      <c r="Q117" s="9">
        <f t="shared" si="14"/>
        <v>0.312</v>
      </c>
      <c r="R117" s="9">
        <f t="shared" si="12"/>
        <v>0.4</v>
      </c>
      <c r="S117" s="21">
        <f t="shared" si="17"/>
        <v>128.2051282051282</v>
      </c>
      <c r="T117" s="9">
        <f t="shared" si="18"/>
        <v>0.4</v>
      </c>
      <c r="U117" s="9">
        <f t="shared" si="19"/>
        <v>0.4</v>
      </c>
      <c r="V117" s="9">
        <f t="shared" si="9"/>
        <v>0</v>
      </c>
      <c r="W117" s="9">
        <f t="shared" si="13"/>
        <v>0</v>
      </c>
    </row>
    <row r="118" spans="1:27" ht="20.100000000000001" customHeight="1" x14ac:dyDescent="0.25">
      <c r="A118" s="34">
        <v>43298</v>
      </c>
      <c r="B118" s="35" t="s">
        <v>154</v>
      </c>
      <c r="C118" s="36">
        <v>0.28799999999999998</v>
      </c>
      <c r="D118" s="37" t="s">
        <v>230</v>
      </c>
      <c r="E118" s="37" t="s">
        <v>198</v>
      </c>
      <c r="F118" s="34"/>
      <c r="G118" s="11">
        <v>100</v>
      </c>
      <c r="H118" s="11">
        <v>0</v>
      </c>
      <c r="I118" s="11">
        <v>0</v>
      </c>
      <c r="K118" s="11">
        <v>2764</v>
      </c>
      <c r="L118" s="9">
        <f t="shared" si="10"/>
        <v>0.76777777777777778</v>
      </c>
      <c r="N118" s="11">
        <v>1</v>
      </c>
      <c r="O118" s="11">
        <v>5</v>
      </c>
      <c r="P118" s="9">
        <f t="shared" si="11"/>
        <v>1.0833333333333333</v>
      </c>
      <c r="Q118" s="9">
        <f t="shared" si="14"/>
        <v>0.67599999999999993</v>
      </c>
      <c r="R118" s="9">
        <f t="shared" si="12"/>
        <v>0.76777777777777778</v>
      </c>
      <c r="S118" s="21">
        <f t="shared" si="17"/>
        <v>113.57659434582511</v>
      </c>
      <c r="T118" s="9">
        <f t="shared" si="18"/>
        <v>0.76777777777777778</v>
      </c>
      <c r="U118" s="9">
        <f t="shared" si="19"/>
        <v>0.76777777777777778</v>
      </c>
      <c r="V118" s="9">
        <f t="shared" si="9"/>
        <v>0</v>
      </c>
      <c r="W118" s="9">
        <f t="shared" si="13"/>
        <v>0</v>
      </c>
    </row>
    <row r="119" spans="1:27" ht="20.100000000000001" customHeight="1" x14ac:dyDescent="0.25">
      <c r="A119" s="34">
        <v>43299</v>
      </c>
      <c r="B119" s="35" t="s">
        <v>155</v>
      </c>
      <c r="C119" s="36">
        <v>0.39600000000000002</v>
      </c>
      <c r="D119" s="37" t="s">
        <v>230</v>
      </c>
      <c r="E119" s="37" t="s">
        <v>13</v>
      </c>
      <c r="F119" s="34"/>
      <c r="G119" s="11">
        <v>0</v>
      </c>
      <c r="H119" s="11">
        <v>100</v>
      </c>
      <c r="I119" s="11">
        <v>0</v>
      </c>
      <c r="L119" s="9">
        <f t="shared" si="10"/>
        <v>0</v>
      </c>
      <c r="N119" s="11">
        <v>1</v>
      </c>
      <c r="O119" s="11">
        <v>35</v>
      </c>
      <c r="P119" s="9">
        <f t="shared" si="11"/>
        <v>1.5833333333333335</v>
      </c>
      <c r="Q119" s="9">
        <f t="shared" si="14"/>
        <v>0.9880000000000001</v>
      </c>
      <c r="R119" s="9">
        <f t="shared" si="12"/>
        <v>0.9880000000000001</v>
      </c>
      <c r="S119" s="21">
        <f t="shared" si="17"/>
        <v>0</v>
      </c>
      <c r="T119" s="9">
        <f t="shared" si="18"/>
        <v>0.9880000000000001</v>
      </c>
      <c r="U119" s="9">
        <f t="shared" si="19"/>
        <v>0</v>
      </c>
      <c r="V119" s="9">
        <f t="shared" si="9"/>
        <v>0.9880000000000001</v>
      </c>
      <c r="W119" s="9">
        <f t="shared" si="13"/>
        <v>0</v>
      </c>
      <c r="X119" s="9">
        <f>SUM(U114:U119)</f>
        <v>4.1065277777777771</v>
      </c>
      <c r="Y119" s="9">
        <f>100*X119/SUM(T114:T119)</f>
        <v>80.606642203235495</v>
      </c>
      <c r="Z119" s="9">
        <f>100*SUM(V114:V119)/SUM(T114:T119)</f>
        <v>19.393357796764505</v>
      </c>
      <c r="AA119" s="9">
        <f>100*SUM(W114:W119)/SUM(T114:T119)</f>
        <v>0</v>
      </c>
    </row>
    <row r="120" spans="1:27" ht="20.100000000000001" customHeight="1" x14ac:dyDescent="0.25">
      <c r="A120" s="43">
        <v>43318</v>
      </c>
      <c r="B120" s="44" t="s">
        <v>158</v>
      </c>
      <c r="C120" s="45">
        <v>0.36599999999999999</v>
      </c>
      <c r="D120" s="46" t="s">
        <v>278</v>
      </c>
      <c r="E120" s="46" t="s">
        <v>201</v>
      </c>
      <c r="F120" s="43" t="s">
        <v>280</v>
      </c>
      <c r="G120" s="47">
        <v>100</v>
      </c>
      <c r="H120" s="47">
        <v>0</v>
      </c>
      <c r="I120" s="47">
        <v>0</v>
      </c>
      <c r="J120" s="48"/>
      <c r="K120" s="47">
        <v>5791</v>
      </c>
      <c r="L120" s="33">
        <f t="shared" si="10"/>
        <v>1.6086111111111112</v>
      </c>
      <c r="M120" s="48"/>
      <c r="N120" s="47">
        <v>2</v>
      </c>
      <c r="O120" s="47">
        <v>45</v>
      </c>
      <c r="P120" s="33">
        <f t="shared" si="11"/>
        <v>2.75</v>
      </c>
      <c r="Q120" s="33">
        <f t="shared" si="14"/>
        <v>1.716</v>
      </c>
      <c r="R120" s="33">
        <f t="shared" si="12"/>
        <v>1.6086111111111112</v>
      </c>
      <c r="S120" s="50">
        <f t="shared" si="17"/>
        <v>93.74190624190625</v>
      </c>
      <c r="T120" s="33">
        <f t="shared" si="18"/>
        <v>1.6086111111111112</v>
      </c>
      <c r="U120" s="33">
        <f t="shared" si="19"/>
        <v>1.6086111111111112</v>
      </c>
      <c r="V120" s="33">
        <f t="shared" si="9"/>
        <v>0</v>
      </c>
      <c r="W120" s="33">
        <f t="shared" si="13"/>
        <v>0</v>
      </c>
      <c r="X120" s="48"/>
      <c r="Y120" s="48"/>
      <c r="Z120" s="48"/>
      <c r="AA120" s="48"/>
    </row>
    <row r="121" spans="1:27" ht="20.100000000000001" customHeight="1" x14ac:dyDescent="0.25">
      <c r="A121" s="39">
        <v>43319</v>
      </c>
      <c r="B121" s="40" t="s">
        <v>159</v>
      </c>
      <c r="C121" s="41">
        <v>0.25700000000000001</v>
      </c>
      <c r="D121" s="42" t="s">
        <v>279</v>
      </c>
      <c r="E121" s="42" t="s">
        <v>201</v>
      </c>
      <c r="F121" s="39" t="s">
        <v>281</v>
      </c>
      <c r="G121" s="11">
        <v>100</v>
      </c>
      <c r="H121" s="11">
        <v>0</v>
      </c>
      <c r="I121" s="11">
        <v>0</v>
      </c>
      <c r="K121" s="11">
        <v>4526</v>
      </c>
      <c r="L121" s="9">
        <f t="shared" si="10"/>
        <v>1.2572222222222222</v>
      </c>
      <c r="N121" s="11">
        <v>2</v>
      </c>
      <c r="O121" s="11">
        <v>0</v>
      </c>
      <c r="P121" s="9">
        <f t="shared" si="11"/>
        <v>2</v>
      </c>
      <c r="Q121" s="9">
        <f t="shared" si="14"/>
        <v>1.248</v>
      </c>
      <c r="R121" s="9">
        <f t="shared" si="12"/>
        <v>1.2572222222222222</v>
      </c>
      <c r="S121" s="21">
        <f t="shared" si="17"/>
        <v>100.73896011396012</v>
      </c>
      <c r="T121" s="9">
        <f t="shared" si="18"/>
        <v>1.2572222222222222</v>
      </c>
      <c r="U121" s="9">
        <f t="shared" si="19"/>
        <v>1.2572222222222222</v>
      </c>
      <c r="V121" s="9">
        <f t="shared" si="9"/>
        <v>0</v>
      </c>
      <c r="W121" s="9">
        <f t="shared" si="13"/>
        <v>0</v>
      </c>
    </row>
    <row r="122" spans="1:27" ht="20.100000000000001" customHeight="1" x14ac:dyDescent="0.25">
      <c r="A122" s="39">
        <v>43320</v>
      </c>
      <c r="B122" s="40" t="s">
        <v>160</v>
      </c>
      <c r="C122" s="41">
        <v>0.159</v>
      </c>
      <c r="D122" s="42" t="s">
        <v>279</v>
      </c>
      <c r="E122" s="42" t="s">
        <v>201</v>
      </c>
      <c r="F122" s="39" t="s">
        <v>282</v>
      </c>
      <c r="G122" s="11">
        <v>100</v>
      </c>
      <c r="H122" s="11">
        <v>0</v>
      </c>
      <c r="I122" s="11">
        <v>0</v>
      </c>
      <c r="K122" s="11">
        <v>2491</v>
      </c>
      <c r="L122" s="9">
        <f t="shared" si="10"/>
        <v>0.69194444444444447</v>
      </c>
      <c r="N122" s="11">
        <v>1</v>
      </c>
      <c r="O122" s="11">
        <v>5</v>
      </c>
      <c r="P122" s="9">
        <f t="shared" si="11"/>
        <v>1.0833333333333333</v>
      </c>
      <c r="Q122" s="9">
        <f t="shared" si="14"/>
        <v>0.67599999999999993</v>
      </c>
      <c r="R122" s="9">
        <f t="shared" si="12"/>
        <v>0.69194444444444447</v>
      </c>
      <c r="S122" s="21">
        <f t="shared" si="17"/>
        <v>102.3586456278764</v>
      </c>
      <c r="T122" s="9">
        <f t="shared" si="18"/>
        <v>0.69194444444444447</v>
      </c>
      <c r="U122" s="9">
        <f t="shared" si="19"/>
        <v>0.69194444444444447</v>
      </c>
      <c r="V122" s="9">
        <f t="shared" si="9"/>
        <v>0</v>
      </c>
      <c r="W122" s="9">
        <f t="shared" si="13"/>
        <v>0</v>
      </c>
    </row>
    <row r="123" spans="1:27" ht="20.100000000000001" customHeight="1" x14ac:dyDescent="0.25">
      <c r="A123" s="34">
        <v>43327</v>
      </c>
      <c r="B123" s="35" t="s">
        <v>161</v>
      </c>
      <c r="C123" s="36">
        <v>0.24399999999999999</v>
      </c>
      <c r="D123" s="37" t="s">
        <v>222</v>
      </c>
      <c r="E123" s="37" t="s">
        <v>19</v>
      </c>
      <c r="F123" s="34" t="s">
        <v>283</v>
      </c>
      <c r="G123" s="11">
        <v>65</v>
      </c>
      <c r="H123" s="11">
        <v>35</v>
      </c>
      <c r="I123" s="11">
        <v>0</v>
      </c>
      <c r="K123" s="11">
        <v>1298</v>
      </c>
      <c r="L123" s="9">
        <f t="shared" si="10"/>
        <v>0.36055555555555557</v>
      </c>
      <c r="N123" s="11">
        <v>0</v>
      </c>
      <c r="O123" s="11">
        <v>35</v>
      </c>
      <c r="P123" s="9">
        <f t="shared" si="11"/>
        <v>0.58333333333333337</v>
      </c>
      <c r="Q123" s="9">
        <f t="shared" si="14"/>
        <v>0.36400000000000005</v>
      </c>
      <c r="R123" s="9">
        <f t="shared" si="12"/>
        <v>0.36400000000000005</v>
      </c>
      <c r="S123" s="21">
        <f t="shared" si="17"/>
        <v>99.053724053724039</v>
      </c>
      <c r="T123" s="9">
        <f t="shared" si="18"/>
        <v>0.36400000000000005</v>
      </c>
      <c r="U123" s="9">
        <f t="shared" si="19"/>
        <v>0.36055555555555557</v>
      </c>
      <c r="V123" s="9">
        <f t="shared" si="9"/>
        <v>0.12740000000000001</v>
      </c>
      <c r="W123" s="9">
        <f t="shared" si="13"/>
        <v>0</v>
      </c>
    </row>
    <row r="124" spans="1:27" ht="20.100000000000001" customHeight="1" x14ac:dyDescent="0.25">
      <c r="A124" s="34">
        <v>43328</v>
      </c>
      <c r="B124" s="35" t="s">
        <v>68</v>
      </c>
      <c r="C124" s="36">
        <v>0.34499999999999997</v>
      </c>
      <c r="D124" s="37" t="s">
        <v>230</v>
      </c>
      <c r="E124" s="37" t="s">
        <v>13</v>
      </c>
      <c r="F124" s="34"/>
      <c r="G124" s="11">
        <v>0</v>
      </c>
      <c r="H124" s="11">
        <v>100</v>
      </c>
      <c r="I124" s="11">
        <v>0</v>
      </c>
      <c r="L124" s="9">
        <f t="shared" si="10"/>
        <v>0</v>
      </c>
      <c r="N124" s="11">
        <v>1</v>
      </c>
      <c r="O124" s="11">
        <v>5</v>
      </c>
      <c r="P124" s="9">
        <f t="shared" si="11"/>
        <v>1.0833333333333333</v>
      </c>
      <c r="Q124" s="9">
        <f t="shared" si="14"/>
        <v>0.67599999999999993</v>
      </c>
      <c r="R124" s="9">
        <f t="shared" si="12"/>
        <v>0.67599999999999993</v>
      </c>
      <c r="S124" s="21">
        <f t="shared" si="17"/>
        <v>0</v>
      </c>
      <c r="T124" s="9">
        <f t="shared" si="18"/>
        <v>0.67599999999999993</v>
      </c>
      <c r="U124" s="9">
        <f t="shared" si="19"/>
        <v>0</v>
      </c>
      <c r="V124" s="9">
        <f t="shared" si="9"/>
        <v>0.67599999999999993</v>
      </c>
      <c r="W124" s="9">
        <f t="shared" si="13"/>
        <v>0</v>
      </c>
    </row>
    <row r="125" spans="1:27" ht="20.100000000000001" customHeight="1" x14ac:dyDescent="0.25">
      <c r="A125" s="34">
        <v>43329</v>
      </c>
      <c r="B125" s="35" t="s">
        <v>162</v>
      </c>
      <c r="C125" s="36">
        <v>0.44900000000000001</v>
      </c>
      <c r="D125" s="37" t="s">
        <v>284</v>
      </c>
      <c r="E125" s="37" t="s">
        <v>19</v>
      </c>
      <c r="F125" s="34" t="s">
        <v>285</v>
      </c>
      <c r="G125" s="11">
        <v>100</v>
      </c>
      <c r="H125" s="11">
        <v>0</v>
      </c>
      <c r="I125" s="11">
        <v>0</v>
      </c>
      <c r="K125" s="11">
        <v>3593</v>
      </c>
      <c r="L125" s="9">
        <f t="shared" si="10"/>
        <v>0.99805555555555558</v>
      </c>
      <c r="N125" s="11">
        <v>1</v>
      </c>
      <c r="O125" s="11">
        <v>35</v>
      </c>
      <c r="P125" s="9">
        <f t="shared" si="11"/>
        <v>1.5833333333333335</v>
      </c>
      <c r="Q125" s="9">
        <f t="shared" si="14"/>
        <v>0.9880000000000001</v>
      </c>
      <c r="R125" s="9">
        <f t="shared" si="12"/>
        <v>0.99805555555555558</v>
      </c>
      <c r="S125" s="21">
        <f t="shared" si="17"/>
        <v>101.01776878092667</v>
      </c>
      <c r="T125" s="9">
        <f t="shared" si="18"/>
        <v>0.99805555555555558</v>
      </c>
      <c r="U125" s="9">
        <f t="shared" si="19"/>
        <v>0.99805555555555558</v>
      </c>
      <c r="V125" s="9">
        <f t="shared" si="9"/>
        <v>0</v>
      </c>
      <c r="W125" s="9">
        <f t="shared" si="13"/>
        <v>0</v>
      </c>
      <c r="X125" s="9">
        <f>SUM(U120:U125)</f>
        <v>4.9163888888888891</v>
      </c>
      <c r="Y125" s="9">
        <f>100*X125/SUM(T120:T125)</f>
        <v>87.858029287664436</v>
      </c>
      <c r="Z125" s="9">
        <f>100*SUM(V120:V125)/SUM(T120:T125)</f>
        <v>14.357110945644079</v>
      </c>
      <c r="AA125" s="9">
        <f>100*SUM(W120:W125)/SUM(T120:T125)</f>
        <v>0</v>
      </c>
    </row>
    <row r="126" spans="1:27" ht="20.100000000000001" customHeight="1" x14ac:dyDescent="0.25">
      <c r="A126" s="43">
        <v>43347</v>
      </c>
      <c r="B126" s="44" t="s">
        <v>163</v>
      </c>
      <c r="C126" s="45">
        <v>0.40300000000000002</v>
      </c>
      <c r="D126" s="46" t="s">
        <v>222</v>
      </c>
      <c r="E126" s="46" t="s">
        <v>216</v>
      </c>
      <c r="F126" s="43"/>
      <c r="G126" s="47">
        <v>100</v>
      </c>
      <c r="H126" s="47">
        <v>0</v>
      </c>
      <c r="I126" s="47">
        <v>0</v>
      </c>
      <c r="J126" s="48"/>
      <c r="K126" s="47">
        <v>7673.4</v>
      </c>
      <c r="L126" s="33">
        <f t="shared" si="10"/>
        <v>2.1315</v>
      </c>
      <c r="M126" s="48"/>
      <c r="N126" s="47">
        <v>3</v>
      </c>
      <c r="O126" s="47">
        <v>40</v>
      </c>
      <c r="P126" s="33">
        <f t="shared" si="11"/>
        <v>3.6666666666666665</v>
      </c>
      <c r="Q126" s="33">
        <f t="shared" si="14"/>
        <v>2.2879999999999998</v>
      </c>
      <c r="R126" s="33">
        <f t="shared" si="12"/>
        <v>2.1315</v>
      </c>
      <c r="S126" s="50">
        <f t="shared" si="17"/>
        <v>93.15996503496504</v>
      </c>
      <c r="T126" s="33">
        <f t="shared" si="18"/>
        <v>2.1315</v>
      </c>
      <c r="U126" s="33">
        <f t="shared" si="19"/>
        <v>2.1315</v>
      </c>
      <c r="V126" s="33">
        <f t="shared" si="9"/>
        <v>0</v>
      </c>
      <c r="W126" s="33">
        <f t="shared" si="13"/>
        <v>0</v>
      </c>
      <c r="X126" s="48"/>
      <c r="Y126" s="48"/>
      <c r="Z126" s="48"/>
      <c r="AA126" s="48"/>
    </row>
    <row r="127" spans="1:27" ht="20.100000000000001" customHeight="1" x14ac:dyDescent="0.25">
      <c r="A127" s="39">
        <v>43348</v>
      </c>
      <c r="B127" s="40" t="s">
        <v>164</v>
      </c>
      <c r="C127" s="41">
        <v>0.28899999999999998</v>
      </c>
      <c r="D127" s="42" t="s">
        <v>235</v>
      </c>
      <c r="E127" s="42" t="s">
        <v>216</v>
      </c>
      <c r="F127" s="39"/>
      <c r="G127" s="11">
        <v>100</v>
      </c>
      <c r="H127" s="11">
        <v>0</v>
      </c>
      <c r="I127" s="11">
        <v>0</v>
      </c>
      <c r="K127" s="11">
        <v>6437</v>
      </c>
      <c r="L127" s="9">
        <f t="shared" si="10"/>
        <v>1.7880555555555555</v>
      </c>
      <c r="N127" s="11">
        <v>2</v>
      </c>
      <c r="O127" s="11">
        <v>45</v>
      </c>
      <c r="P127" s="9">
        <f t="shared" si="11"/>
        <v>2.75</v>
      </c>
      <c r="Q127" s="9">
        <f t="shared" si="14"/>
        <v>1.716</v>
      </c>
      <c r="R127" s="9">
        <f t="shared" si="12"/>
        <v>1.7880555555555555</v>
      </c>
      <c r="S127" s="21">
        <f t="shared" si="17"/>
        <v>104.1990416990417</v>
      </c>
      <c r="T127" s="9">
        <f t="shared" si="18"/>
        <v>1.7880555555555555</v>
      </c>
      <c r="U127" s="9">
        <f t="shared" si="19"/>
        <v>1.7880555555555555</v>
      </c>
      <c r="V127" s="9">
        <f t="shared" si="9"/>
        <v>0</v>
      </c>
      <c r="W127" s="9">
        <f t="shared" si="13"/>
        <v>0</v>
      </c>
    </row>
    <row r="128" spans="1:27" ht="20.100000000000001" customHeight="1" x14ac:dyDescent="0.25">
      <c r="A128" s="39">
        <v>43349</v>
      </c>
      <c r="B128" s="40" t="s">
        <v>165</v>
      </c>
      <c r="C128" s="41">
        <v>0.185</v>
      </c>
      <c r="D128" s="42" t="s">
        <v>235</v>
      </c>
      <c r="E128" s="42" t="s">
        <v>216</v>
      </c>
      <c r="F128" s="39"/>
      <c r="G128" s="11">
        <v>100</v>
      </c>
      <c r="H128" s="11">
        <v>0</v>
      </c>
      <c r="I128" s="11">
        <v>0</v>
      </c>
      <c r="K128" s="11">
        <v>3887</v>
      </c>
      <c r="L128" s="9">
        <f t="shared" si="10"/>
        <v>1.0797222222222222</v>
      </c>
      <c r="N128" s="11">
        <v>1</v>
      </c>
      <c r="O128" s="11">
        <v>45</v>
      </c>
      <c r="P128" s="9">
        <f t="shared" si="11"/>
        <v>1.75</v>
      </c>
      <c r="Q128" s="9">
        <f t="shared" si="14"/>
        <v>1.0920000000000001</v>
      </c>
      <c r="R128" s="9">
        <f t="shared" si="12"/>
        <v>1.0797222222222222</v>
      </c>
      <c r="S128" s="21">
        <f t="shared" si="17"/>
        <v>98.87566137566138</v>
      </c>
      <c r="T128" s="9">
        <f t="shared" si="18"/>
        <v>1.0797222222222222</v>
      </c>
      <c r="U128" s="9">
        <f t="shared" si="19"/>
        <v>1.0797222222222222</v>
      </c>
      <c r="V128" s="9">
        <f t="shared" si="9"/>
        <v>0</v>
      </c>
      <c r="W128" s="9">
        <f t="shared" si="13"/>
        <v>0</v>
      </c>
    </row>
    <row r="129" spans="1:44" ht="20.100000000000001" customHeight="1" x14ac:dyDescent="0.25">
      <c r="A129" s="39">
        <v>43350</v>
      </c>
      <c r="B129" s="40" t="s">
        <v>166</v>
      </c>
      <c r="C129" s="41">
        <v>9.8000000000000004E-2</v>
      </c>
      <c r="D129" s="42" t="s">
        <v>230</v>
      </c>
      <c r="E129" s="42" t="s">
        <v>216</v>
      </c>
      <c r="F129" s="39"/>
      <c r="G129" s="11">
        <v>100</v>
      </c>
      <c r="H129" s="11">
        <v>0</v>
      </c>
      <c r="I129" s="11">
        <v>0</v>
      </c>
      <c r="K129" s="11">
        <v>1779</v>
      </c>
      <c r="L129" s="9">
        <f t="shared" si="10"/>
        <v>0.49416666666666664</v>
      </c>
      <c r="N129" s="11">
        <v>0</v>
      </c>
      <c r="O129" s="11">
        <v>40</v>
      </c>
      <c r="P129" s="9">
        <f t="shared" si="11"/>
        <v>0.66666666666666663</v>
      </c>
      <c r="Q129" s="9">
        <f t="shared" si="14"/>
        <v>0.41599999999999998</v>
      </c>
      <c r="R129" s="9">
        <f t="shared" si="12"/>
        <v>0.49416666666666664</v>
      </c>
      <c r="S129" s="21">
        <f t="shared" si="17"/>
        <v>118.7900641025641</v>
      </c>
      <c r="T129" s="9">
        <f t="shared" si="18"/>
        <v>0.49416666666666664</v>
      </c>
      <c r="U129" s="9">
        <f t="shared" si="19"/>
        <v>0.49416666666666664</v>
      </c>
      <c r="V129" s="9">
        <f t="shared" si="9"/>
        <v>0</v>
      </c>
      <c r="W129" s="9">
        <f t="shared" si="13"/>
        <v>0</v>
      </c>
    </row>
    <row r="130" spans="1:44" ht="20.100000000000001" customHeight="1" x14ac:dyDescent="0.25">
      <c r="A130" s="34">
        <v>43357</v>
      </c>
      <c r="B130" s="35" t="s">
        <v>167</v>
      </c>
      <c r="C130" s="36">
        <v>0.28599999999999998</v>
      </c>
      <c r="D130" s="37" t="s">
        <v>230</v>
      </c>
      <c r="E130" s="37" t="s">
        <v>13</v>
      </c>
      <c r="F130" s="34"/>
      <c r="G130" s="11">
        <v>0</v>
      </c>
      <c r="H130" s="11">
        <v>100</v>
      </c>
      <c r="I130" s="11">
        <v>0</v>
      </c>
      <c r="L130" s="9">
        <f t="shared" si="10"/>
        <v>0</v>
      </c>
      <c r="N130" s="11">
        <v>0</v>
      </c>
      <c r="O130" s="11">
        <v>40</v>
      </c>
      <c r="P130" s="9">
        <f t="shared" si="11"/>
        <v>0.66666666666666663</v>
      </c>
      <c r="Q130" s="9">
        <f t="shared" si="14"/>
        <v>0.41599999999999998</v>
      </c>
      <c r="R130" s="9">
        <f t="shared" si="12"/>
        <v>0.41599999999999998</v>
      </c>
      <c r="S130" s="21">
        <f t="shared" si="17"/>
        <v>0</v>
      </c>
      <c r="T130" s="9">
        <f t="shared" si="18"/>
        <v>0.41599999999999998</v>
      </c>
      <c r="U130" s="9">
        <f t="shared" si="19"/>
        <v>0</v>
      </c>
      <c r="V130" s="9">
        <f t="shared" si="9"/>
        <v>0.41599999999999998</v>
      </c>
      <c r="W130" s="9">
        <f t="shared" si="13"/>
        <v>0</v>
      </c>
    </row>
    <row r="131" spans="1:44" ht="20.100000000000001" customHeight="1" x14ac:dyDescent="0.25">
      <c r="A131" s="34">
        <v>43358</v>
      </c>
      <c r="B131" s="35" t="s">
        <v>168</v>
      </c>
      <c r="C131" s="36">
        <v>0.38400000000000001</v>
      </c>
      <c r="D131" s="37" t="s">
        <v>230</v>
      </c>
      <c r="E131" s="37" t="s">
        <v>19</v>
      </c>
      <c r="F131" s="34"/>
      <c r="G131" s="11">
        <v>100</v>
      </c>
      <c r="H131" s="11">
        <v>0</v>
      </c>
      <c r="I131" s="11">
        <v>0</v>
      </c>
      <c r="K131" s="11">
        <v>2756</v>
      </c>
      <c r="L131" s="9">
        <f t="shared" si="10"/>
        <v>0.76555555555555554</v>
      </c>
      <c r="N131" s="11">
        <v>1</v>
      </c>
      <c r="O131" s="11">
        <v>15</v>
      </c>
      <c r="P131" s="9">
        <f t="shared" si="11"/>
        <v>1.25</v>
      </c>
      <c r="Q131" s="9">
        <f t="shared" si="14"/>
        <v>0.78</v>
      </c>
      <c r="R131" s="9">
        <f t="shared" si="12"/>
        <v>0.76555555555555554</v>
      </c>
      <c r="S131" s="21">
        <f t="shared" si="17"/>
        <v>98.148148148148152</v>
      </c>
      <c r="T131" s="9">
        <f t="shared" si="18"/>
        <v>0.76555555555555554</v>
      </c>
      <c r="U131" s="9">
        <f t="shared" si="19"/>
        <v>0.76555555555555554</v>
      </c>
      <c r="V131" s="9">
        <f t="shared" ref="V131:V180" si="20">T131*H131%</f>
        <v>0</v>
      </c>
      <c r="W131" s="9">
        <f t="shared" si="13"/>
        <v>0</v>
      </c>
      <c r="X131" s="9">
        <f>SUM(U126:U131)</f>
        <v>6.2589999999999995</v>
      </c>
      <c r="Y131" s="9">
        <f>100*X131/SUM(T126:T131)</f>
        <v>93.767790262172284</v>
      </c>
      <c r="Z131" s="9">
        <f>100*SUM(V126:V131)/SUM(T126:T131)</f>
        <v>6.2322097378277155</v>
      </c>
      <c r="AA131" s="9">
        <f>100*SUM(W126:W131)/SUM(T126:T131)</f>
        <v>0</v>
      </c>
    </row>
    <row r="132" spans="1:44" ht="20.100000000000001" customHeight="1" x14ac:dyDescent="0.25">
      <c r="A132" s="43">
        <v>43376</v>
      </c>
      <c r="B132" s="44" t="s">
        <v>169</v>
      </c>
      <c r="C132" s="45">
        <v>0.435</v>
      </c>
      <c r="D132" s="46" t="s">
        <v>230</v>
      </c>
      <c r="E132" s="46" t="s">
        <v>13</v>
      </c>
      <c r="F132" s="43"/>
      <c r="G132" s="47">
        <v>0</v>
      </c>
      <c r="H132" s="47">
        <v>100</v>
      </c>
      <c r="I132" s="47">
        <v>0</v>
      </c>
      <c r="J132" s="48"/>
      <c r="K132" s="48"/>
      <c r="L132" s="33">
        <f t="shared" ref="L132:L195" si="21">K132/3600</f>
        <v>0</v>
      </c>
      <c r="M132" s="48"/>
      <c r="N132" s="47">
        <v>4</v>
      </c>
      <c r="O132" s="47">
        <v>20</v>
      </c>
      <c r="P132" s="33">
        <f t="shared" ref="P132:P180" si="22">N132+O132/60</f>
        <v>4.333333333333333</v>
      </c>
      <c r="Q132" s="33">
        <f t="shared" si="14"/>
        <v>2.7039999999999997</v>
      </c>
      <c r="R132" s="33">
        <f t="shared" ref="R132:R180" si="23">IF(G132=100,L132,Q132)</f>
        <v>2.7039999999999997</v>
      </c>
      <c r="S132" s="50">
        <f t="shared" si="17"/>
        <v>0</v>
      </c>
      <c r="T132" s="33">
        <f t="shared" si="18"/>
        <v>2.7039999999999997</v>
      </c>
      <c r="U132" s="33">
        <f t="shared" si="19"/>
        <v>0</v>
      </c>
      <c r="V132" s="33">
        <f t="shared" si="20"/>
        <v>2.7039999999999997</v>
      </c>
      <c r="W132" s="33">
        <f t="shared" ref="W132:W180" si="24">T132*I132%</f>
        <v>0</v>
      </c>
      <c r="X132" s="48"/>
      <c r="Y132" s="48"/>
      <c r="Z132" s="48"/>
      <c r="AA132" s="48"/>
    </row>
    <row r="133" spans="1:44" ht="20.100000000000001" customHeight="1" x14ac:dyDescent="0.25">
      <c r="A133" s="39">
        <v>43377</v>
      </c>
      <c r="B133" s="40" t="s">
        <v>170</v>
      </c>
      <c r="C133" s="41">
        <v>0.318</v>
      </c>
      <c r="D133" s="42" t="s">
        <v>230</v>
      </c>
      <c r="E133" s="42" t="s">
        <v>432</v>
      </c>
      <c r="F133" s="40"/>
      <c r="G133" s="11">
        <v>97</v>
      </c>
      <c r="H133" s="11">
        <v>3</v>
      </c>
      <c r="I133" s="11">
        <v>0</v>
      </c>
      <c r="K133" s="11">
        <v>6886</v>
      </c>
      <c r="L133" s="9">
        <f t="shared" si="21"/>
        <v>1.9127777777777777</v>
      </c>
      <c r="N133" s="11">
        <v>3</v>
      </c>
      <c r="O133" s="11">
        <v>20</v>
      </c>
      <c r="P133" s="9">
        <f t="shared" si="22"/>
        <v>3.3333333333333335</v>
      </c>
      <c r="Q133" s="9">
        <f t="shared" ref="Q133:Q180" si="25">P133*62.4%</f>
        <v>2.08</v>
      </c>
      <c r="R133" s="9">
        <f t="shared" si="23"/>
        <v>2.08</v>
      </c>
      <c r="S133" s="21">
        <f t="shared" si="17"/>
        <v>91.960470085470078</v>
      </c>
      <c r="T133" s="9">
        <f t="shared" si="18"/>
        <v>2.08</v>
      </c>
      <c r="U133" s="9">
        <f t="shared" si="19"/>
        <v>1.9127777777777777</v>
      </c>
      <c r="V133" s="9">
        <f t="shared" si="20"/>
        <v>6.2399999999999997E-2</v>
      </c>
      <c r="W133" s="9">
        <f t="shared" si="24"/>
        <v>0</v>
      </c>
    </row>
    <row r="134" spans="1:44" ht="20.100000000000001" customHeight="1" x14ac:dyDescent="0.25">
      <c r="A134" s="39">
        <v>43378</v>
      </c>
      <c r="B134" s="40" t="s">
        <v>171</v>
      </c>
      <c r="C134" s="41">
        <v>0.21099999999999999</v>
      </c>
      <c r="D134" s="42" t="s">
        <v>230</v>
      </c>
      <c r="E134" s="42" t="s">
        <v>13</v>
      </c>
      <c r="F134" s="40"/>
      <c r="G134" s="11">
        <v>0</v>
      </c>
      <c r="H134" s="11">
        <v>100</v>
      </c>
      <c r="I134" s="11">
        <v>0</v>
      </c>
      <c r="L134" s="9">
        <f t="shared" si="21"/>
        <v>0</v>
      </c>
      <c r="N134" s="11">
        <v>2</v>
      </c>
      <c r="O134" s="11">
        <v>10</v>
      </c>
      <c r="P134" s="9">
        <f t="shared" si="22"/>
        <v>2.1666666666666665</v>
      </c>
      <c r="Q134" s="9">
        <f t="shared" si="25"/>
        <v>1.3519999999999999</v>
      </c>
      <c r="R134" s="9">
        <f t="shared" si="23"/>
        <v>1.3519999999999999</v>
      </c>
      <c r="S134" s="21">
        <f t="shared" si="17"/>
        <v>0</v>
      </c>
      <c r="T134" s="9">
        <f t="shared" si="18"/>
        <v>1.3519999999999999</v>
      </c>
      <c r="U134" s="9">
        <f t="shared" si="19"/>
        <v>0</v>
      </c>
      <c r="V134" s="9">
        <f t="shared" si="20"/>
        <v>1.3519999999999999</v>
      </c>
      <c r="W134" s="9">
        <f t="shared" si="24"/>
        <v>0</v>
      </c>
    </row>
    <row r="135" spans="1:44" ht="20.100000000000001" customHeight="1" x14ac:dyDescent="0.25">
      <c r="A135" s="39">
        <v>43379</v>
      </c>
      <c r="B135" s="40" t="s">
        <v>172</v>
      </c>
      <c r="C135" s="41">
        <v>0.12</v>
      </c>
      <c r="D135" s="42" t="s">
        <v>433</v>
      </c>
      <c r="E135" s="42" t="s">
        <v>216</v>
      </c>
      <c r="F135" s="40"/>
      <c r="G135" s="11">
        <v>100</v>
      </c>
      <c r="H135" s="11">
        <v>0</v>
      </c>
      <c r="I135" s="11">
        <v>0</v>
      </c>
      <c r="K135" s="11">
        <v>2697</v>
      </c>
      <c r="L135" s="9">
        <f t="shared" si="21"/>
        <v>0.74916666666666665</v>
      </c>
      <c r="N135" s="11">
        <v>1</v>
      </c>
      <c r="O135" s="11">
        <v>5</v>
      </c>
      <c r="P135" s="9">
        <f t="shared" si="22"/>
        <v>1.0833333333333333</v>
      </c>
      <c r="Q135" s="9">
        <f t="shared" si="25"/>
        <v>0.67599999999999993</v>
      </c>
      <c r="R135" s="9">
        <f t="shared" si="23"/>
        <v>0.74916666666666665</v>
      </c>
      <c r="S135" s="21">
        <f t="shared" si="17"/>
        <v>110.8234714003945</v>
      </c>
      <c r="T135" s="9">
        <f t="shared" si="18"/>
        <v>0.74916666666666665</v>
      </c>
      <c r="U135" s="9">
        <f t="shared" si="19"/>
        <v>0.74916666666666665</v>
      </c>
      <c r="V135" s="9">
        <f t="shared" si="20"/>
        <v>0</v>
      </c>
      <c r="W135" s="9">
        <f t="shared" si="24"/>
        <v>0</v>
      </c>
    </row>
    <row r="136" spans="1:44" ht="20.100000000000001" customHeight="1" x14ac:dyDescent="0.25">
      <c r="A136" s="34">
        <v>43386</v>
      </c>
      <c r="B136" s="35" t="s">
        <v>173</v>
      </c>
      <c r="C136" s="36">
        <v>0.222</v>
      </c>
      <c r="D136" s="37" t="s">
        <v>230</v>
      </c>
      <c r="E136" s="37" t="s">
        <v>13</v>
      </c>
      <c r="F136" s="34"/>
      <c r="G136" s="11">
        <v>0</v>
      </c>
      <c r="H136" s="11">
        <v>100</v>
      </c>
      <c r="I136" s="11">
        <v>0</v>
      </c>
      <c r="L136" s="9">
        <f t="shared" si="21"/>
        <v>0</v>
      </c>
      <c r="N136" s="11">
        <v>0</v>
      </c>
      <c r="O136" s="11">
        <v>30</v>
      </c>
      <c r="P136" s="9">
        <f t="shared" si="22"/>
        <v>0.5</v>
      </c>
      <c r="Q136" s="9">
        <f t="shared" si="25"/>
        <v>0.312</v>
      </c>
      <c r="R136" s="9">
        <f t="shared" si="23"/>
        <v>0.312</v>
      </c>
      <c r="S136" s="21">
        <f t="shared" si="17"/>
        <v>0</v>
      </c>
      <c r="T136" s="9">
        <f t="shared" si="18"/>
        <v>0.312</v>
      </c>
      <c r="U136" s="9">
        <f t="shared" si="19"/>
        <v>0</v>
      </c>
      <c r="V136" s="9">
        <f t="shared" si="20"/>
        <v>0.312</v>
      </c>
      <c r="W136" s="9">
        <f t="shared" si="24"/>
        <v>0</v>
      </c>
    </row>
    <row r="137" spans="1:44" ht="20.100000000000001" customHeight="1" x14ac:dyDescent="0.25">
      <c r="A137" s="34">
        <v>43387</v>
      </c>
      <c r="B137" s="35" t="s">
        <v>174</v>
      </c>
      <c r="C137" s="36">
        <v>0.312</v>
      </c>
      <c r="D137" s="37" t="s">
        <v>230</v>
      </c>
      <c r="E137" s="37" t="s">
        <v>13</v>
      </c>
      <c r="F137" s="34"/>
      <c r="G137" s="11">
        <v>0</v>
      </c>
      <c r="H137" s="11">
        <v>100</v>
      </c>
      <c r="I137" s="11">
        <v>0</v>
      </c>
      <c r="L137" s="9">
        <f t="shared" si="21"/>
        <v>0</v>
      </c>
      <c r="N137" s="11">
        <v>1</v>
      </c>
      <c r="O137" s="11">
        <v>10</v>
      </c>
      <c r="P137" s="9">
        <f t="shared" si="22"/>
        <v>1.1666666666666667</v>
      </c>
      <c r="Q137" s="9">
        <f t="shared" si="25"/>
        <v>0.72800000000000009</v>
      </c>
      <c r="R137" s="9">
        <f t="shared" si="23"/>
        <v>0.72800000000000009</v>
      </c>
      <c r="S137" s="21">
        <f t="shared" si="17"/>
        <v>0</v>
      </c>
      <c r="T137" s="9">
        <f t="shared" si="18"/>
        <v>0.72800000000000009</v>
      </c>
      <c r="U137" s="9">
        <f t="shared" si="19"/>
        <v>0</v>
      </c>
      <c r="V137" s="9">
        <f t="shared" si="20"/>
        <v>0.72800000000000009</v>
      </c>
      <c r="W137" s="9">
        <f t="shared" si="24"/>
        <v>0</v>
      </c>
    </row>
    <row r="138" spans="1:44" ht="20.100000000000001" customHeight="1" x14ac:dyDescent="0.25">
      <c r="A138" s="34">
        <v>43388</v>
      </c>
      <c r="B138" s="35" t="s">
        <v>175</v>
      </c>
      <c r="C138" s="36">
        <v>0.40799999999999997</v>
      </c>
      <c r="D138" s="37" t="s">
        <v>222</v>
      </c>
      <c r="E138" s="37" t="s">
        <v>432</v>
      </c>
      <c r="F138" s="34"/>
      <c r="G138" s="11">
        <v>50</v>
      </c>
      <c r="H138" s="11">
        <v>50</v>
      </c>
      <c r="I138" s="11">
        <v>0</v>
      </c>
      <c r="K138" s="11">
        <v>1545</v>
      </c>
      <c r="L138" s="9">
        <f t="shared" si="21"/>
        <v>0.42916666666666664</v>
      </c>
      <c r="N138" s="11">
        <v>1</v>
      </c>
      <c r="O138" s="11">
        <v>55</v>
      </c>
      <c r="P138" s="9">
        <f t="shared" si="22"/>
        <v>1.9166666666666665</v>
      </c>
      <c r="Q138" s="9">
        <f t="shared" si="25"/>
        <v>1.196</v>
      </c>
      <c r="R138" s="9">
        <f t="shared" si="23"/>
        <v>1.196</v>
      </c>
      <c r="S138" s="21">
        <f t="shared" si="17"/>
        <v>35.883500557413598</v>
      </c>
      <c r="T138" s="9">
        <f t="shared" si="18"/>
        <v>1.196</v>
      </c>
      <c r="U138" s="9">
        <f t="shared" si="19"/>
        <v>0.42916666666666664</v>
      </c>
      <c r="V138" s="9">
        <f t="shared" si="20"/>
        <v>0.59799999999999998</v>
      </c>
      <c r="W138" s="9">
        <f t="shared" si="24"/>
        <v>0</v>
      </c>
      <c r="X138" s="9">
        <f>SUM(U133:U138)</f>
        <v>3.0911111111111111</v>
      </c>
      <c r="Y138" s="9">
        <f>100*X138/SUM(T133:T138)</f>
        <v>48.16940671289683</v>
      </c>
      <c r="Z138" s="9">
        <f>100*SUM(V133:V138)/SUM(T133:T138)</f>
        <v>47.566163675557753</v>
      </c>
      <c r="AA138" s="9">
        <f>100*SUM(W133:W138)/SUM(T133:T138)</f>
        <v>0</v>
      </c>
    </row>
    <row r="139" spans="1:44" ht="20.100000000000001" customHeight="1" x14ac:dyDescent="0.25">
      <c r="A139" s="43">
        <v>43405</v>
      </c>
      <c r="B139" s="44" t="s">
        <v>176</v>
      </c>
      <c r="C139" s="45">
        <v>0.46600000000000003</v>
      </c>
      <c r="D139" s="46" t="s">
        <v>230</v>
      </c>
      <c r="E139" s="46" t="s">
        <v>434</v>
      </c>
      <c r="F139" s="43" t="s">
        <v>436</v>
      </c>
      <c r="G139" s="47">
        <v>30</v>
      </c>
      <c r="H139" s="47">
        <v>70</v>
      </c>
      <c r="I139" s="47">
        <v>0</v>
      </c>
      <c r="J139" s="48"/>
      <c r="K139" s="47">
        <v>3683</v>
      </c>
      <c r="L139" s="33">
        <f t="shared" si="21"/>
        <v>1.0230555555555556</v>
      </c>
      <c r="M139" s="48"/>
      <c r="N139" s="47">
        <v>4</v>
      </c>
      <c r="O139" s="47">
        <v>50</v>
      </c>
      <c r="P139" s="33">
        <f t="shared" si="22"/>
        <v>4.833333333333333</v>
      </c>
      <c r="Q139" s="33">
        <f t="shared" si="25"/>
        <v>3.016</v>
      </c>
      <c r="R139" s="33">
        <f t="shared" si="23"/>
        <v>3.016</v>
      </c>
      <c r="S139" s="50">
        <f t="shared" si="17"/>
        <v>33.92094017094017</v>
      </c>
      <c r="T139" s="33">
        <f t="shared" si="18"/>
        <v>3.016</v>
      </c>
      <c r="U139" s="33">
        <f t="shared" si="19"/>
        <v>1.0230555555555556</v>
      </c>
      <c r="V139" s="33">
        <f t="shared" si="20"/>
        <v>2.1111999999999997</v>
      </c>
      <c r="W139" s="33">
        <f t="shared" si="24"/>
        <v>0</v>
      </c>
      <c r="X139" s="48"/>
      <c r="Y139" s="48"/>
      <c r="Z139" s="48"/>
      <c r="AA139" s="48"/>
    </row>
    <row r="140" spans="1:44" ht="20.100000000000001" customHeight="1" x14ac:dyDescent="0.25">
      <c r="A140" s="39">
        <v>43406</v>
      </c>
      <c r="B140" s="40" t="s">
        <v>177</v>
      </c>
      <c r="C140" s="41">
        <v>0.35</v>
      </c>
      <c r="D140" s="42" t="s">
        <v>230</v>
      </c>
      <c r="E140" s="42" t="s">
        <v>13</v>
      </c>
      <c r="F140" s="39"/>
      <c r="G140" s="11">
        <v>0</v>
      </c>
      <c r="H140" s="11">
        <v>100</v>
      </c>
      <c r="I140" s="11">
        <v>0</v>
      </c>
      <c r="L140" s="9">
        <f t="shared" si="21"/>
        <v>0</v>
      </c>
      <c r="N140" s="11">
        <v>3</v>
      </c>
      <c r="O140" s="11">
        <v>45</v>
      </c>
      <c r="P140" s="9">
        <f t="shared" si="22"/>
        <v>3.75</v>
      </c>
      <c r="Q140" s="9">
        <f t="shared" si="25"/>
        <v>2.34</v>
      </c>
      <c r="R140" s="9">
        <f t="shared" si="23"/>
        <v>2.34</v>
      </c>
      <c r="S140" s="21">
        <f t="shared" si="17"/>
        <v>0</v>
      </c>
      <c r="T140" s="9">
        <f t="shared" si="18"/>
        <v>2.34</v>
      </c>
      <c r="U140" s="9">
        <f t="shared" si="19"/>
        <v>0</v>
      </c>
      <c r="V140" s="9">
        <f t="shared" si="20"/>
        <v>2.34</v>
      </c>
      <c r="W140" s="9">
        <f t="shared" si="24"/>
        <v>0</v>
      </c>
    </row>
    <row r="141" spans="1:44" ht="20.100000000000001" customHeight="1" x14ac:dyDescent="0.25">
      <c r="A141" s="39">
        <v>43407</v>
      </c>
      <c r="B141" s="40" t="s">
        <v>178</v>
      </c>
      <c r="C141" s="41">
        <v>0.24099999999999999</v>
      </c>
      <c r="D141" s="42" t="s">
        <v>230</v>
      </c>
      <c r="E141" s="53" t="s">
        <v>434</v>
      </c>
      <c r="F141" s="39"/>
      <c r="G141" s="11">
        <v>0</v>
      </c>
      <c r="H141" s="11">
        <v>90</v>
      </c>
      <c r="I141" s="11">
        <v>0</v>
      </c>
      <c r="K141" s="11">
        <v>579</v>
      </c>
      <c r="L141" s="9">
        <f t="shared" si="21"/>
        <v>0.16083333333333333</v>
      </c>
      <c r="N141" s="11">
        <v>2</v>
      </c>
      <c r="O141" s="11">
        <v>35</v>
      </c>
      <c r="P141" s="9">
        <f t="shared" si="22"/>
        <v>2.5833333333333335</v>
      </c>
      <c r="Q141" s="9">
        <f t="shared" si="25"/>
        <v>1.6120000000000001</v>
      </c>
      <c r="R141" s="9">
        <f t="shared" si="23"/>
        <v>1.6120000000000001</v>
      </c>
      <c r="S141" s="21">
        <f t="shared" si="17"/>
        <v>9.9772539288668316</v>
      </c>
      <c r="T141" s="9">
        <f t="shared" si="18"/>
        <v>1.6120000000000001</v>
      </c>
      <c r="U141" s="9">
        <f t="shared" si="19"/>
        <v>0.16083333333333333</v>
      </c>
      <c r="V141" s="9">
        <f t="shared" si="20"/>
        <v>1.4508000000000001</v>
      </c>
      <c r="W141" s="9">
        <f t="shared" si="24"/>
        <v>0</v>
      </c>
    </row>
    <row r="142" spans="1:44" ht="20.100000000000001" customHeight="1" x14ac:dyDescent="0.25">
      <c r="A142" s="39">
        <v>43408</v>
      </c>
      <c r="B142" s="40" t="s">
        <v>179</v>
      </c>
      <c r="C142" s="41">
        <v>0.14699999999999999</v>
      </c>
      <c r="D142" s="42" t="s">
        <v>230</v>
      </c>
      <c r="E142" s="42" t="s">
        <v>13</v>
      </c>
      <c r="F142" s="39"/>
      <c r="G142" s="11">
        <v>0</v>
      </c>
      <c r="H142" s="11">
        <v>100</v>
      </c>
      <c r="I142" s="11">
        <v>0</v>
      </c>
      <c r="L142" s="9">
        <f t="shared" si="21"/>
        <v>0</v>
      </c>
      <c r="N142" s="11">
        <v>1</v>
      </c>
      <c r="O142" s="11">
        <v>30</v>
      </c>
      <c r="P142" s="9">
        <f t="shared" si="22"/>
        <v>1.5</v>
      </c>
      <c r="Q142" s="9">
        <f t="shared" si="25"/>
        <v>0.93599999999999994</v>
      </c>
      <c r="R142" s="9">
        <f t="shared" si="23"/>
        <v>0.93599999999999994</v>
      </c>
      <c r="S142" s="21">
        <f t="shared" si="17"/>
        <v>0</v>
      </c>
      <c r="T142" s="9">
        <f t="shared" si="18"/>
        <v>0.93599999999999994</v>
      </c>
      <c r="U142" s="9">
        <f t="shared" si="19"/>
        <v>0</v>
      </c>
      <c r="V142" s="9">
        <f t="shared" si="20"/>
        <v>0.93599999999999994</v>
      </c>
      <c r="W142" s="9">
        <f t="shared" si="24"/>
        <v>0</v>
      </c>
    </row>
    <row r="143" spans="1:44" ht="20.100000000000001" customHeight="1" x14ac:dyDescent="0.25">
      <c r="A143" s="57">
        <v>43416</v>
      </c>
      <c r="B143" s="58" t="s">
        <v>180</v>
      </c>
      <c r="C143" s="59">
        <v>0.23899999999999999</v>
      </c>
      <c r="D143" s="60" t="s">
        <v>284</v>
      </c>
      <c r="E143" s="60" t="s">
        <v>455</v>
      </c>
      <c r="F143" s="57"/>
      <c r="G143" s="8">
        <v>100</v>
      </c>
      <c r="H143" s="8">
        <v>0</v>
      </c>
      <c r="I143" s="8">
        <v>0</v>
      </c>
      <c r="K143" s="11">
        <v>2641</v>
      </c>
      <c r="L143" s="9">
        <f t="shared" si="21"/>
        <v>0.7336111111111111</v>
      </c>
      <c r="N143" s="11">
        <v>1</v>
      </c>
      <c r="O143" s="11">
        <v>10</v>
      </c>
      <c r="P143" s="9">
        <f t="shared" si="22"/>
        <v>1.1666666666666667</v>
      </c>
      <c r="Q143" s="9">
        <f t="shared" si="25"/>
        <v>0.72800000000000009</v>
      </c>
      <c r="R143" s="9">
        <f t="shared" si="23"/>
        <v>0.7336111111111111</v>
      </c>
      <c r="S143" s="9">
        <f t="shared" si="17"/>
        <v>100.77075702075702</v>
      </c>
      <c r="T143" s="9">
        <f t="shared" si="18"/>
        <v>0.7336111111111111</v>
      </c>
      <c r="U143" s="9">
        <f t="shared" si="19"/>
        <v>0.7336111111111111</v>
      </c>
      <c r="V143" s="9">
        <f t="shared" si="20"/>
        <v>0</v>
      </c>
      <c r="W143" s="9">
        <f t="shared" si="24"/>
        <v>0</v>
      </c>
      <c r="X143" s="9"/>
      <c r="Y143" s="9"/>
      <c r="Z143" s="9"/>
      <c r="AA143" s="9"/>
      <c r="AB143" s="9"/>
      <c r="AC143" s="11"/>
      <c r="AD143" s="11"/>
      <c r="AE143" s="11"/>
      <c r="AF143" s="11"/>
      <c r="AG143" s="11"/>
      <c r="AH143" s="11"/>
      <c r="AI143" s="11"/>
      <c r="AJ143" s="11"/>
      <c r="AK143" s="11"/>
      <c r="AL143" s="11"/>
      <c r="AM143" s="11"/>
      <c r="AN143" s="11"/>
      <c r="AO143" s="11"/>
      <c r="AP143" s="11"/>
      <c r="AQ143" s="11"/>
      <c r="AR143" s="11"/>
    </row>
    <row r="144" spans="1:44" ht="20.100000000000001" customHeight="1" x14ac:dyDescent="0.25">
      <c r="A144" s="57">
        <v>43417</v>
      </c>
      <c r="B144" s="58" t="s">
        <v>181</v>
      </c>
      <c r="C144" s="59">
        <v>0.32800000000000001</v>
      </c>
      <c r="D144" s="60" t="s">
        <v>230</v>
      </c>
      <c r="E144" s="60" t="s">
        <v>13</v>
      </c>
      <c r="F144" s="57"/>
      <c r="G144" s="11">
        <v>0</v>
      </c>
      <c r="H144" s="11">
        <v>100</v>
      </c>
      <c r="I144" s="11">
        <v>0</v>
      </c>
      <c r="K144" s="20"/>
      <c r="L144" s="9">
        <f t="shared" si="21"/>
        <v>0</v>
      </c>
      <c r="N144" s="11">
        <v>2</v>
      </c>
      <c r="O144" s="11">
        <v>5</v>
      </c>
      <c r="P144" s="9">
        <f t="shared" si="22"/>
        <v>2.0833333333333335</v>
      </c>
      <c r="Q144" s="9">
        <f t="shared" si="25"/>
        <v>1.3</v>
      </c>
      <c r="R144" s="9">
        <f t="shared" si="23"/>
        <v>1.3</v>
      </c>
      <c r="S144" s="9">
        <f t="shared" si="17"/>
        <v>0</v>
      </c>
      <c r="T144" s="9">
        <f t="shared" si="18"/>
        <v>1.3</v>
      </c>
      <c r="U144" s="9">
        <f t="shared" si="19"/>
        <v>0</v>
      </c>
      <c r="V144" s="9">
        <f t="shared" si="20"/>
        <v>1.3</v>
      </c>
      <c r="W144" s="9">
        <f t="shared" si="24"/>
        <v>0</v>
      </c>
      <c r="X144" s="9"/>
      <c r="Y144" s="9"/>
      <c r="Z144" s="9"/>
      <c r="AA144" s="9"/>
      <c r="AB144" s="9"/>
      <c r="AC144" s="11"/>
      <c r="AD144" s="11"/>
      <c r="AE144" s="11"/>
      <c r="AF144" s="11"/>
      <c r="AG144" s="11"/>
      <c r="AH144" s="11"/>
      <c r="AI144" s="11"/>
      <c r="AJ144" s="11"/>
      <c r="AK144" s="11"/>
      <c r="AL144" s="11"/>
      <c r="AM144" s="11"/>
      <c r="AN144" s="11"/>
      <c r="AO144" s="11"/>
      <c r="AP144" s="11"/>
      <c r="AQ144" s="11"/>
      <c r="AR144" s="11"/>
    </row>
    <row r="145" spans="1:44" ht="20.100000000000001" customHeight="1" x14ac:dyDescent="0.25">
      <c r="A145" s="57">
        <v>43418</v>
      </c>
      <c r="B145" s="58" t="s">
        <v>182</v>
      </c>
      <c r="C145" s="59">
        <v>0.42299999999999999</v>
      </c>
      <c r="D145" s="60" t="s">
        <v>433</v>
      </c>
      <c r="E145" s="60" t="s">
        <v>198</v>
      </c>
      <c r="F145" s="57" t="s">
        <v>456</v>
      </c>
      <c r="G145" s="8">
        <v>100</v>
      </c>
      <c r="H145" s="8">
        <v>0</v>
      </c>
      <c r="I145" s="8">
        <v>0</v>
      </c>
      <c r="K145" s="8">
        <v>6154</v>
      </c>
      <c r="L145" s="9">
        <f t="shared" si="21"/>
        <v>1.7094444444444445</v>
      </c>
      <c r="N145" s="11">
        <v>3</v>
      </c>
      <c r="O145" s="11">
        <v>5</v>
      </c>
      <c r="P145" s="9">
        <f t="shared" si="22"/>
        <v>3.0833333333333335</v>
      </c>
      <c r="Q145" s="9">
        <f t="shared" si="25"/>
        <v>1.9240000000000002</v>
      </c>
      <c r="R145" s="9">
        <f t="shared" si="23"/>
        <v>1.7094444444444445</v>
      </c>
      <c r="S145" s="9">
        <f t="shared" si="17"/>
        <v>88.848463848463851</v>
      </c>
      <c r="T145" s="9">
        <f t="shared" si="18"/>
        <v>1.7094444444444445</v>
      </c>
      <c r="U145" s="9">
        <f t="shared" si="19"/>
        <v>1.7094444444444445</v>
      </c>
      <c r="V145" s="9">
        <f t="shared" si="20"/>
        <v>0</v>
      </c>
      <c r="W145" s="9">
        <f t="shared" si="24"/>
        <v>0</v>
      </c>
      <c r="X145" s="9">
        <f>SUM(U139:U145)</f>
        <v>3.6269444444444447</v>
      </c>
      <c r="Y145" s="9">
        <f>100*X145/SUM(T139:T145)</f>
        <v>31.140440836262858</v>
      </c>
      <c r="Z145" s="9">
        <f>100*SUM(V139:V145)/SUM(T139:T145)</f>
        <v>69.871736776581571</v>
      </c>
      <c r="AA145" s="9">
        <f>100*SUM(W139:W145)/SUM(T139:T145)</f>
        <v>0</v>
      </c>
      <c r="AB145" s="9"/>
      <c r="AC145" s="11"/>
      <c r="AD145" s="11"/>
      <c r="AE145" s="11"/>
      <c r="AF145" s="11"/>
      <c r="AG145" s="11"/>
      <c r="AH145" s="11"/>
      <c r="AI145" s="11"/>
      <c r="AJ145" s="11"/>
      <c r="AK145" s="11"/>
      <c r="AL145" s="11"/>
      <c r="AM145" s="11"/>
      <c r="AN145" s="11"/>
      <c r="AO145" s="11"/>
      <c r="AP145" s="11"/>
      <c r="AQ145" s="11"/>
      <c r="AR145" s="11"/>
    </row>
    <row r="146" spans="1:44" s="48" customFormat="1" ht="20.100000000000001" customHeight="1" x14ac:dyDescent="0.25">
      <c r="A146" s="61">
        <v>43435</v>
      </c>
      <c r="B146" s="62" t="s">
        <v>183</v>
      </c>
      <c r="C146" s="63">
        <v>0.38600000000000001</v>
      </c>
      <c r="D146" s="64" t="s">
        <v>230</v>
      </c>
      <c r="E146" s="65" t="s">
        <v>13</v>
      </c>
      <c r="F146" s="61"/>
      <c r="G146" s="47">
        <v>0</v>
      </c>
      <c r="H146" s="47">
        <v>100</v>
      </c>
      <c r="I146" s="47">
        <v>0</v>
      </c>
      <c r="J146" s="66"/>
      <c r="K146" s="66"/>
      <c r="L146" s="33">
        <f t="shared" si="21"/>
        <v>0</v>
      </c>
      <c r="M146" s="47"/>
      <c r="N146" s="47">
        <v>4</v>
      </c>
      <c r="O146" s="47">
        <v>10</v>
      </c>
      <c r="P146" s="33">
        <f t="shared" si="22"/>
        <v>4.166666666666667</v>
      </c>
      <c r="Q146" s="33">
        <f t="shared" si="25"/>
        <v>2.6</v>
      </c>
      <c r="R146" s="33">
        <f t="shared" si="23"/>
        <v>2.6</v>
      </c>
      <c r="S146" s="33">
        <f t="shared" si="17"/>
        <v>0</v>
      </c>
      <c r="T146" s="33">
        <f t="shared" si="18"/>
        <v>2.6</v>
      </c>
      <c r="U146" s="33">
        <f t="shared" si="19"/>
        <v>0</v>
      </c>
      <c r="V146" s="33">
        <f t="shared" si="20"/>
        <v>2.6</v>
      </c>
      <c r="W146" s="33">
        <f t="shared" si="24"/>
        <v>0</v>
      </c>
      <c r="X146" s="33"/>
      <c r="Y146" s="33"/>
      <c r="Z146" s="33"/>
      <c r="AA146" s="33"/>
      <c r="AB146" s="47"/>
      <c r="AC146" s="47"/>
      <c r="AD146" s="47"/>
      <c r="AE146" s="47"/>
      <c r="AF146" s="47"/>
      <c r="AG146" s="47"/>
      <c r="AH146" s="47"/>
      <c r="AI146" s="47"/>
      <c r="AJ146" s="47"/>
      <c r="AK146" s="47"/>
      <c r="AL146" s="47"/>
      <c r="AM146" s="47"/>
      <c r="AN146" s="47"/>
      <c r="AO146" s="47"/>
      <c r="AP146" s="47"/>
      <c r="AQ146" s="47"/>
    </row>
    <row r="147" spans="1:44" ht="20.100000000000001" customHeight="1" x14ac:dyDescent="0.25">
      <c r="A147" s="67">
        <v>43436</v>
      </c>
      <c r="B147" s="68" t="s">
        <v>184</v>
      </c>
      <c r="C147" s="69">
        <v>0.27700000000000002</v>
      </c>
      <c r="D147" s="70" t="s">
        <v>230</v>
      </c>
      <c r="E147" s="71" t="s">
        <v>13</v>
      </c>
      <c r="F147" s="67"/>
      <c r="G147" s="11">
        <v>0</v>
      </c>
      <c r="H147" s="11">
        <v>100</v>
      </c>
      <c r="I147" s="11">
        <v>0</v>
      </c>
      <c r="J147" s="20"/>
      <c r="K147" s="20"/>
      <c r="L147" s="9">
        <f t="shared" si="21"/>
        <v>0</v>
      </c>
      <c r="M147" s="11"/>
      <c r="N147" s="11">
        <v>3</v>
      </c>
      <c r="O147" s="11">
        <v>5</v>
      </c>
      <c r="P147" s="9">
        <f t="shared" si="22"/>
        <v>3.0833333333333335</v>
      </c>
      <c r="Q147" s="9">
        <f t="shared" si="25"/>
        <v>1.9240000000000002</v>
      </c>
      <c r="R147" s="9">
        <f t="shared" si="23"/>
        <v>1.9240000000000002</v>
      </c>
      <c r="S147" s="11">
        <f t="shared" si="17"/>
        <v>0</v>
      </c>
      <c r="T147" s="11">
        <f t="shared" si="18"/>
        <v>1.9240000000000002</v>
      </c>
      <c r="U147" s="9">
        <f t="shared" si="19"/>
        <v>0</v>
      </c>
      <c r="V147" s="11">
        <f t="shared" si="20"/>
        <v>1.9240000000000002</v>
      </c>
      <c r="W147" s="11">
        <f t="shared" si="24"/>
        <v>0</v>
      </c>
      <c r="X147" s="11"/>
      <c r="Y147" s="11"/>
      <c r="Z147" s="11"/>
      <c r="AA147" s="11"/>
      <c r="AB147" s="11"/>
      <c r="AC147" s="11"/>
      <c r="AD147" s="11"/>
      <c r="AE147" s="11"/>
      <c r="AF147" s="11"/>
      <c r="AG147" s="11"/>
      <c r="AH147" s="11"/>
      <c r="AI147" s="11"/>
      <c r="AJ147" s="11"/>
      <c r="AK147" s="11"/>
      <c r="AL147" s="11"/>
      <c r="AM147" s="11"/>
      <c r="AN147" s="11"/>
      <c r="AO147" s="11"/>
      <c r="AP147" s="11"/>
      <c r="AQ147" s="11"/>
    </row>
    <row r="148" spans="1:44" ht="20.100000000000001" customHeight="1" x14ac:dyDescent="0.25">
      <c r="A148" s="67">
        <v>43437</v>
      </c>
      <c r="B148" s="68" t="s">
        <v>185</v>
      </c>
      <c r="C148" s="69">
        <v>0.18099999999999999</v>
      </c>
      <c r="D148" s="70" t="s">
        <v>230</v>
      </c>
      <c r="E148" s="71" t="s">
        <v>13</v>
      </c>
      <c r="F148" s="67"/>
      <c r="G148" s="11">
        <v>0</v>
      </c>
      <c r="H148" s="11">
        <v>100</v>
      </c>
      <c r="I148" s="11">
        <v>0</v>
      </c>
      <c r="J148" s="20"/>
      <c r="K148" s="20"/>
      <c r="L148" s="9">
        <f t="shared" si="21"/>
        <v>0</v>
      </c>
      <c r="M148" s="11"/>
      <c r="N148" s="11">
        <v>1</v>
      </c>
      <c r="O148" s="11">
        <v>55</v>
      </c>
      <c r="P148" s="9">
        <f t="shared" si="22"/>
        <v>1.9166666666666665</v>
      </c>
      <c r="Q148" s="9">
        <f t="shared" si="25"/>
        <v>1.196</v>
      </c>
      <c r="R148" s="9">
        <f t="shared" si="23"/>
        <v>1.196</v>
      </c>
      <c r="S148" s="11">
        <f t="shared" si="17"/>
        <v>0</v>
      </c>
      <c r="T148" s="11">
        <f t="shared" si="18"/>
        <v>1.196</v>
      </c>
      <c r="U148" s="9">
        <f t="shared" si="19"/>
        <v>0</v>
      </c>
      <c r="V148" s="11">
        <f t="shared" si="20"/>
        <v>1.196</v>
      </c>
      <c r="W148" s="11">
        <f t="shared" si="24"/>
        <v>0</v>
      </c>
      <c r="X148" s="11"/>
      <c r="Y148" s="11"/>
      <c r="Z148" s="11"/>
      <c r="AA148" s="11"/>
      <c r="AB148" s="11"/>
      <c r="AC148" s="11"/>
      <c r="AD148" s="11"/>
      <c r="AE148" s="11"/>
      <c r="AF148" s="11"/>
      <c r="AG148" s="11"/>
      <c r="AH148" s="11"/>
      <c r="AI148" s="11"/>
      <c r="AJ148" s="11"/>
      <c r="AK148" s="11"/>
      <c r="AL148" s="11"/>
      <c r="AM148" s="11"/>
      <c r="AN148" s="11"/>
      <c r="AO148" s="11"/>
      <c r="AP148" s="11"/>
      <c r="AQ148" s="11"/>
    </row>
    <row r="149" spans="1:44" ht="20.100000000000001" customHeight="1" x14ac:dyDescent="0.25">
      <c r="A149" s="67">
        <v>43438</v>
      </c>
      <c r="B149" s="68" t="s">
        <v>186</v>
      </c>
      <c r="C149" s="69">
        <v>0.10299999999999999</v>
      </c>
      <c r="D149" s="70" t="s">
        <v>230</v>
      </c>
      <c r="E149" s="42" t="s">
        <v>458</v>
      </c>
      <c r="F149" s="67"/>
      <c r="G149" s="8">
        <v>60</v>
      </c>
      <c r="H149" s="8">
        <v>40</v>
      </c>
      <c r="I149" s="8">
        <v>0</v>
      </c>
      <c r="J149" s="20"/>
      <c r="K149" s="8">
        <v>1263.2</v>
      </c>
      <c r="L149" s="9">
        <f t="shared" si="21"/>
        <v>0.35088888888888892</v>
      </c>
      <c r="N149" s="11">
        <v>0</v>
      </c>
      <c r="O149" s="11">
        <v>50</v>
      </c>
      <c r="P149" s="9">
        <f t="shared" si="22"/>
        <v>0.83333333333333337</v>
      </c>
      <c r="Q149" s="9">
        <f t="shared" si="25"/>
        <v>0.52</v>
      </c>
      <c r="R149" s="9">
        <f t="shared" si="23"/>
        <v>0.52</v>
      </c>
      <c r="S149" s="9">
        <f t="shared" si="17"/>
        <v>67.478632478632477</v>
      </c>
      <c r="T149" s="9">
        <f t="shared" si="18"/>
        <v>0.52</v>
      </c>
      <c r="U149" s="9">
        <f t="shared" si="19"/>
        <v>0.35088888888888892</v>
      </c>
      <c r="V149" s="9">
        <f t="shared" si="20"/>
        <v>0.20800000000000002</v>
      </c>
      <c r="W149" s="9">
        <f t="shared" si="24"/>
        <v>0</v>
      </c>
    </row>
    <row r="150" spans="1:44" ht="20.100000000000001" customHeight="1" x14ac:dyDescent="0.25">
      <c r="A150" s="57">
        <v>43445</v>
      </c>
      <c r="B150" s="72" t="s">
        <v>187</v>
      </c>
      <c r="C150" s="59">
        <v>0.16900000000000001</v>
      </c>
      <c r="D150" s="60" t="s">
        <v>230</v>
      </c>
      <c r="E150" s="60" t="s">
        <v>247</v>
      </c>
      <c r="F150" s="57"/>
      <c r="G150" s="8">
        <v>0</v>
      </c>
      <c r="H150" s="8">
        <v>100</v>
      </c>
      <c r="I150" s="8">
        <v>0</v>
      </c>
      <c r="J150" s="20"/>
      <c r="K150" s="20"/>
      <c r="L150" s="9">
        <f t="shared" si="21"/>
        <v>0</v>
      </c>
      <c r="N150" s="11">
        <v>0</v>
      </c>
      <c r="O150" s="11">
        <v>55</v>
      </c>
      <c r="P150" s="9">
        <f t="shared" si="22"/>
        <v>0.91666666666666663</v>
      </c>
      <c r="Q150" s="9">
        <f t="shared" si="25"/>
        <v>0.57199999999999995</v>
      </c>
      <c r="R150" s="9">
        <f t="shared" si="23"/>
        <v>0.57199999999999995</v>
      </c>
      <c r="S150" s="9">
        <f t="shared" si="17"/>
        <v>0</v>
      </c>
      <c r="T150" s="9">
        <f t="shared" si="18"/>
        <v>0.57199999999999995</v>
      </c>
      <c r="U150" s="9">
        <f t="shared" si="19"/>
        <v>0</v>
      </c>
      <c r="V150" s="9">
        <f t="shared" si="20"/>
        <v>0.57199999999999995</v>
      </c>
      <c r="W150" s="9">
        <f t="shared" si="24"/>
        <v>0</v>
      </c>
    </row>
    <row r="151" spans="1:44" ht="20.100000000000001" customHeight="1" x14ac:dyDescent="0.25">
      <c r="A151" s="57">
        <v>43446</v>
      </c>
      <c r="B151" s="72" t="s">
        <v>188</v>
      </c>
      <c r="C151" s="59">
        <v>0.252</v>
      </c>
      <c r="D151" s="60" t="s">
        <v>284</v>
      </c>
      <c r="E151" s="60" t="s">
        <v>199</v>
      </c>
      <c r="F151" s="57" t="s">
        <v>459</v>
      </c>
      <c r="G151" s="8">
        <v>70</v>
      </c>
      <c r="H151" s="8">
        <v>30</v>
      </c>
      <c r="I151" s="8">
        <v>0</v>
      </c>
      <c r="J151" s="20"/>
      <c r="K151" s="8">
        <v>3700.7</v>
      </c>
      <c r="L151" s="9">
        <f t="shared" si="21"/>
        <v>1.0279722222222221</v>
      </c>
      <c r="M151" s="31"/>
      <c r="N151" s="11">
        <v>2</v>
      </c>
      <c r="O151" s="11">
        <v>5</v>
      </c>
      <c r="P151" s="9">
        <f t="shared" si="22"/>
        <v>2.0833333333333335</v>
      </c>
      <c r="Q151" s="9">
        <f t="shared" si="25"/>
        <v>1.3</v>
      </c>
      <c r="R151" s="9">
        <f t="shared" si="23"/>
        <v>1.3</v>
      </c>
      <c r="S151" s="9">
        <f t="shared" si="17"/>
        <v>79.074786324786302</v>
      </c>
      <c r="T151" s="9">
        <f t="shared" si="18"/>
        <v>1.3</v>
      </c>
      <c r="U151" s="9">
        <f t="shared" si="19"/>
        <v>1.0279722222222221</v>
      </c>
      <c r="V151" s="9">
        <f t="shared" si="20"/>
        <v>0.39</v>
      </c>
      <c r="W151" s="9">
        <f t="shared" si="24"/>
        <v>0</v>
      </c>
    </row>
    <row r="152" spans="1:44" ht="20.100000000000001" customHeight="1" x14ac:dyDescent="0.25">
      <c r="A152" s="57">
        <v>43447</v>
      </c>
      <c r="B152" s="72" t="s">
        <v>189</v>
      </c>
      <c r="C152" s="59">
        <v>0.34100000000000003</v>
      </c>
      <c r="D152" s="60" t="s">
        <v>230</v>
      </c>
      <c r="E152" s="60" t="s">
        <v>13</v>
      </c>
      <c r="F152" s="57"/>
      <c r="G152" s="8">
        <v>0</v>
      </c>
      <c r="H152" s="8">
        <v>100</v>
      </c>
      <c r="I152" s="8">
        <v>0</v>
      </c>
      <c r="J152" s="20"/>
      <c r="K152" s="20"/>
      <c r="L152" s="9">
        <f t="shared" si="21"/>
        <v>0</v>
      </c>
      <c r="N152" s="11">
        <v>3</v>
      </c>
      <c r="O152" s="11">
        <v>5</v>
      </c>
      <c r="P152" s="9">
        <f t="shared" si="22"/>
        <v>3.0833333333333335</v>
      </c>
      <c r="Q152" s="9">
        <f t="shared" si="25"/>
        <v>1.9240000000000002</v>
      </c>
      <c r="R152" s="9">
        <f t="shared" si="23"/>
        <v>1.9240000000000002</v>
      </c>
      <c r="S152" s="9">
        <f t="shared" si="17"/>
        <v>0</v>
      </c>
      <c r="T152" s="9">
        <f t="shared" si="18"/>
        <v>1.9240000000000002</v>
      </c>
      <c r="U152" s="9">
        <f t="shared" si="19"/>
        <v>0</v>
      </c>
      <c r="V152" s="9">
        <f t="shared" si="20"/>
        <v>1.9240000000000002</v>
      </c>
      <c r="W152" s="9">
        <f t="shared" si="24"/>
        <v>0</v>
      </c>
    </row>
    <row r="153" spans="1:44" ht="20.100000000000001" customHeight="1" x14ac:dyDescent="0.25">
      <c r="A153" s="57">
        <v>43448</v>
      </c>
      <c r="B153" s="72" t="s">
        <v>190</v>
      </c>
      <c r="C153" s="59">
        <v>0.437</v>
      </c>
      <c r="D153" s="60" t="s">
        <v>230</v>
      </c>
      <c r="E153" s="60" t="s">
        <v>460</v>
      </c>
      <c r="F153" s="57"/>
      <c r="G153" s="8">
        <v>0</v>
      </c>
      <c r="H153" s="8">
        <v>100</v>
      </c>
      <c r="I153" s="8">
        <v>0</v>
      </c>
      <c r="J153" s="20"/>
      <c r="K153" s="20"/>
      <c r="L153" s="9">
        <f t="shared" si="21"/>
        <v>0</v>
      </c>
      <c r="N153" s="11">
        <v>4</v>
      </c>
      <c r="O153" s="11">
        <v>10</v>
      </c>
      <c r="P153" s="9">
        <f t="shared" si="22"/>
        <v>4.166666666666667</v>
      </c>
      <c r="Q153" s="9">
        <f t="shared" si="25"/>
        <v>2.6</v>
      </c>
      <c r="R153" s="9">
        <f t="shared" si="23"/>
        <v>2.6</v>
      </c>
      <c r="S153" s="9">
        <f t="shared" si="17"/>
        <v>0</v>
      </c>
      <c r="T153" s="9">
        <f t="shared" si="18"/>
        <v>2.6</v>
      </c>
      <c r="U153" s="9">
        <f t="shared" si="19"/>
        <v>0</v>
      </c>
      <c r="V153" s="9">
        <f t="shared" si="20"/>
        <v>2.6</v>
      </c>
      <c r="W153" s="9">
        <f t="shared" si="24"/>
        <v>0</v>
      </c>
    </row>
    <row r="154" spans="1:44" ht="20.100000000000001" customHeight="1" x14ac:dyDescent="0.25">
      <c r="A154" s="67">
        <v>43464</v>
      </c>
      <c r="B154" s="68" t="s">
        <v>191</v>
      </c>
      <c r="C154" s="69">
        <v>0.43099999999999999</v>
      </c>
      <c r="D154" s="70" t="s">
        <v>230</v>
      </c>
      <c r="E154" s="70" t="s">
        <v>461</v>
      </c>
      <c r="F154" s="67" t="s">
        <v>462</v>
      </c>
      <c r="G154" s="8">
        <v>10</v>
      </c>
      <c r="H154" s="8">
        <v>90</v>
      </c>
      <c r="I154" s="8">
        <v>0</v>
      </c>
      <c r="J154" s="20"/>
      <c r="K154" s="8">
        <v>1070</v>
      </c>
      <c r="L154" s="9">
        <f t="shared" si="21"/>
        <v>0.29722222222222222</v>
      </c>
      <c r="N154" s="11">
        <v>4</v>
      </c>
      <c r="O154" s="11">
        <v>25</v>
      </c>
      <c r="P154" s="9">
        <f t="shared" si="22"/>
        <v>4.416666666666667</v>
      </c>
      <c r="Q154" s="9">
        <f t="shared" si="25"/>
        <v>2.7560000000000002</v>
      </c>
      <c r="R154" s="9">
        <f t="shared" si="23"/>
        <v>2.7560000000000002</v>
      </c>
      <c r="S154" s="9">
        <f t="shared" si="17"/>
        <v>10.784550878890501</v>
      </c>
      <c r="T154" s="9">
        <f t="shared" si="18"/>
        <v>2.7560000000000002</v>
      </c>
      <c r="U154" s="9">
        <f t="shared" si="19"/>
        <v>0.29722222222222222</v>
      </c>
      <c r="V154" s="9">
        <f t="shared" si="20"/>
        <v>2.4804000000000004</v>
      </c>
      <c r="W154" s="9">
        <f t="shared" si="24"/>
        <v>0</v>
      </c>
    </row>
    <row r="155" spans="1:44" ht="20.100000000000001" customHeight="1" x14ac:dyDescent="0.25">
      <c r="A155" s="67">
        <v>43465</v>
      </c>
      <c r="B155" s="68" t="s">
        <v>192</v>
      </c>
      <c r="C155" s="69">
        <v>0.32200000000000001</v>
      </c>
      <c r="D155" s="70" t="s">
        <v>230</v>
      </c>
      <c r="E155" s="71" t="s">
        <v>464</v>
      </c>
      <c r="F155" s="67"/>
      <c r="G155" s="8">
        <v>0</v>
      </c>
      <c r="H155" s="8">
        <v>100</v>
      </c>
      <c r="I155" s="8">
        <v>0</v>
      </c>
      <c r="J155" s="20"/>
      <c r="K155" s="20"/>
      <c r="L155" s="9">
        <f t="shared" si="21"/>
        <v>0</v>
      </c>
      <c r="N155" s="11">
        <v>3</v>
      </c>
      <c r="O155" s="11">
        <v>15</v>
      </c>
      <c r="P155" s="9">
        <f t="shared" si="22"/>
        <v>3.25</v>
      </c>
      <c r="Q155" s="9">
        <f t="shared" si="25"/>
        <v>2.028</v>
      </c>
      <c r="R155" s="9">
        <f t="shared" si="23"/>
        <v>2.028</v>
      </c>
      <c r="S155" s="9">
        <f t="shared" si="17"/>
        <v>0</v>
      </c>
      <c r="T155" s="9">
        <f t="shared" si="18"/>
        <v>2.028</v>
      </c>
      <c r="U155" s="9">
        <f t="shared" si="19"/>
        <v>0</v>
      </c>
      <c r="V155" s="9">
        <f t="shared" si="20"/>
        <v>2.028</v>
      </c>
      <c r="W155" s="9">
        <f t="shared" si="24"/>
        <v>0</v>
      </c>
      <c r="X155" s="9">
        <f>SUM(U146:U155)</f>
        <v>1.6760833333333334</v>
      </c>
      <c r="Y155" s="9">
        <f>100*X155/SUM(T146:T155)</f>
        <v>9.6216035208572546</v>
      </c>
      <c r="Z155" s="9">
        <f>100*SUM(V146:V155)/SUM(T146:T155)</f>
        <v>91.402985074626883</v>
      </c>
      <c r="AA155" s="9">
        <f>100*SUM(W146:W155)/SUM(T146:T155)</f>
        <v>0</v>
      </c>
    </row>
    <row r="156" spans="1:44" s="48" customFormat="1" ht="20.100000000000001" customHeight="1" x14ac:dyDescent="0.25">
      <c r="A156" s="61">
        <v>43466</v>
      </c>
      <c r="B156" s="62" t="s">
        <v>193</v>
      </c>
      <c r="C156" s="63">
        <v>0.224</v>
      </c>
      <c r="D156" s="64" t="s">
        <v>230</v>
      </c>
      <c r="E156" s="65" t="s">
        <v>463</v>
      </c>
      <c r="F156" s="61"/>
      <c r="G156" s="24">
        <v>0</v>
      </c>
      <c r="H156" s="24">
        <v>100</v>
      </c>
      <c r="I156" s="24">
        <v>0</v>
      </c>
      <c r="J156" s="66"/>
      <c r="K156" s="66"/>
      <c r="L156" s="33">
        <f t="shared" si="21"/>
        <v>0</v>
      </c>
      <c r="N156" s="47">
        <v>2</v>
      </c>
      <c r="O156" s="47">
        <v>5</v>
      </c>
      <c r="P156" s="33">
        <f t="shared" si="22"/>
        <v>2.0833333333333335</v>
      </c>
      <c r="Q156" s="33">
        <f t="shared" si="25"/>
        <v>1.3</v>
      </c>
      <c r="R156" s="33">
        <f t="shared" si="23"/>
        <v>1.3</v>
      </c>
      <c r="S156" s="33">
        <f t="shared" si="17"/>
        <v>0</v>
      </c>
      <c r="T156" s="33">
        <f t="shared" si="18"/>
        <v>1.3</v>
      </c>
      <c r="U156" s="33">
        <f t="shared" si="19"/>
        <v>0</v>
      </c>
      <c r="V156" s="33">
        <f t="shared" si="20"/>
        <v>1.3</v>
      </c>
      <c r="W156" s="33">
        <f t="shared" si="24"/>
        <v>0</v>
      </c>
    </row>
    <row r="157" spans="1:44" ht="20.100000000000001" customHeight="1" x14ac:dyDescent="0.25">
      <c r="A157" s="67">
        <v>43467</v>
      </c>
      <c r="B157" s="68" t="s">
        <v>194</v>
      </c>
      <c r="C157" s="69">
        <v>0.14099999999999999</v>
      </c>
      <c r="D157" s="70" t="s">
        <v>230</v>
      </c>
      <c r="E157" s="71" t="s">
        <v>463</v>
      </c>
      <c r="F157" s="67"/>
      <c r="G157" s="8">
        <v>0</v>
      </c>
      <c r="H157" s="8">
        <v>100</v>
      </c>
      <c r="I157" s="8">
        <v>0</v>
      </c>
      <c r="J157" s="20"/>
      <c r="K157" s="20"/>
      <c r="L157" s="9">
        <f t="shared" si="21"/>
        <v>0</v>
      </c>
      <c r="N157" s="11">
        <v>1</v>
      </c>
      <c r="O157" s="11">
        <v>0</v>
      </c>
      <c r="P157" s="9">
        <f t="shared" si="22"/>
        <v>1</v>
      </c>
      <c r="Q157" s="9">
        <f t="shared" si="25"/>
        <v>0.624</v>
      </c>
      <c r="R157" s="9">
        <f t="shared" si="23"/>
        <v>0.624</v>
      </c>
      <c r="S157" s="9">
        <f t="shared" si="17"/>
        <v>0</v>
      </c>
      <c r="T157" s="9">
        <f t="shared" si="18"/>
        <v>0.624</v>
      </c>
      <c r="U157" s="9">
        <f t="shared" si="19"/>
        <v>0</v>
      </c>
      <c r="V157" s="9">
        <f t="shared" si="20"/>
        <v>0.624</v>
      </c>
      <c r="W157" s="9">
        <f t="shared" si="24"/>
        <v>0</v>
      </c>
    </row>
    <row r="158" spans="1:44" ht="20.100000000000001" customHeight="1" x14ac:dyDescent="0.25">
      <c r="A158" s="57">
        <v>43475</v>
      </c>
      <c r="B158" s="72" t="s">
        <v>195</v>
      </c>
      <c r="C158" s="59">
        <v>0.184</v>
      </c>
      <c r="D158" s="60" t="s">
        <v>230</v>
      </c>
      <c r="E158" s="60" t="s">
        <v>13</v>
      </c>
      <c r="F158" s="57"/>
      <c r="G158" s="8">
        <v>0</v>
      </c>
      <c r="H158" s="8">
        <v>100</v>
      </c>
      <c r="I158" s="8">
        <v>0</v>
      </c>
      <c r="J158" s="20"/>
      <c r="K158" s="20"/>
      <c r="L158" s="9">
        <f t="shared" si="21"/>
        <v>0</v>
      </c>
      <c r="N158" s="11">
        <v>1</v>
      </c>
      <c r="O158" s="11">
        <v>40</v>
      </c>
      <c r="P158" s="9">
        <f t="shared" si="22"/>
        <v>1.6666666666666665</v>
      </c>
      <c r="Q158" s="9">
        <f t="shared" si="25"/>
        <v>1.0399999999999998</v>
      </c>
      <c r="R158" s="9">
        <f t="shared" si="23"/>
        <v>1.0399999999999998</v>
      </c>
      <c r="S158" s="9">
        <f t="shared" si="17"/>
        <v>0</v>
      </c>
      <c r="T158" s="9">
        <f t="shared" si="18"/>
        <v>1.0399999999999998</v>
      </c>
      <c r="U158" s="9">
        <f t="shared" si="19"/>
        <v>0</v>
      </c>
      <c r="V158" s="9">
        <f t="shared" si="20"/>
        <v>1.0399999999999998</v>
      </c>
      <c r="W158" s="9">
        <f t="shared" si="24"/>
        <v>0</v>
      </c>
    </row>
    <row r="159" spans="1:44" ht="20.100000000000001" customHeight="1" x14ac:dyDescent="0.25">
      <c r="A159" s="57">
        <v>43476</v>
      </c>
      <c r="B159" s="72" t="s">
        <v>196</v>
      </c>
      <c r="C159" s="59">
        <v>0.26600000000000001</v>
      </c>
      <c r="D159" s="60" t="s">
        <v>230</v>
      </c>
      <c r="E159" s="60" t="s">
        <v>13</v>
      </c>
      <c r="F159" s="57"/>
      <c r="G159" s="8">
        <v>0</v>
      </c>
      <c r="H159" s="8">
        <v>100</v>
      </c>
      <c r="I159" s="8">
        <v>0</v>
      </c>
      <c r="J159" s="20"/>
      <c r="K159" s="20"/>
      <c r="L159" s="9">
        <f t="shared" si="21"/>
        <v>0</v>
      </c>
      <c r="N159" s="11">
        <v>2</v>
      </c>
      <c r="O159" s="11">
        <v>40</v>
      </c>
      <c r="P159" s="9">
        <f t="shared" si="22"/>
        <v>2.6666666666666665</v>
      </c>
      <c r="Q159" s="9">
        <f t="shared" si="25"/>
        <v>1.6639999999999999</v>
      </c>
      <c r="R159" s="9">
        <f t="shared" si="23"/>
        <v>1.6639999999999999</v>
      </c>
      <c r="S159" s="9">
        <f t="shared" si="17"/>
        <v>0</v>
      </c>
      <c r="T159" s="9">
        <f t="shared" si="18"/>
        <v>1.6639999999999999</v>
      </c>
      <c r="U159" s="9">
        <f t="shared" si="19"/>
        <v>0</v>
      </c>
      <c r="V159" s="9">
        <f t="shared" si="20"/>
        <v>1.6639999999999999</v>
      </c>
      <c r="W159" s="9">
        <f t="shared" si="24"/>
        <v>0</v>
      </c>
    </row>
    <row r="160" spans="1:44" ht="20.100000000000001" customHeight="1" x14ac:dyDescent="0.25">
      <c r="A160" s="57">
        <v>43477</v>
      </c>
      <c r="B160" s="72" t="s">
        <v>197</v>
      </c>
      <c r="C160" s="59">
        <v>0.35799999999999998</v>
      </c>
      <c r="D160" s="60" t="s">
        <v>230</v>
      </c>
      <c r="E160" s="60" t="s">
        <v>13</v>
      </c>
      <c r="F160" s="57"/>
      <c r="G160" s="8">
        <v>0</v>
      </c>
      <c r="H160" s="8">
        <v>100</v>
      </c>
      <c r="I160" s="8">
        <v>0</v>
      </c>
      <c r="J160" s="20"/>
      <c r="K160" s="103"/>
      <c r="L160" s="9">
        <f t="shared" si="21"/>
        <v>0</v>
      </c>
      <c r="N160" s="11">
        <v>3</v>
      </c>
      <c r="O160" s="11">
        <v>40</v>
      </c>
      <c r="P160" s="9">
        <f t="shared" si="22"/>
        <v>3.6666666666666665</v>
      </c>
      <c r="Q160" s="9">
        <f t="shared" si="25"/>
        <v>2.2879999999999998</v>
      </c>
      <c r="R160" s="9">
        <f t="shared" si="23"/>
        <v>2.2879999999999998</v>
      </c>
      <c r="S160" s="9">
        <f t="shared" si="17"/>
        <v>0</v>
      </c>
      <c r="T160" s="9">
        <f t="shared" si="18"/>
        <v>2.2879999999999998</v>
      </c>
      <c r="U160" s="9">
        <f t="shared" si="19"/>
        <v>0</v>
      </c>
      <c r="V160" s="9">
        <f t="shared" si="20"/>
        <v>2.2879999999999998</v>
      </c>
      <c r="W160" s="9">
        <f t="shared" si="24"/>
        <v>0</v>
      </c>
    </row>
    <row r="161" spans="1:27" ht="20.100000000000001" customHeight="1" x14ac:dyDescent="0.25">
      <c r="A161" s="73">
        <v>43494</v>
      </c>
      <c r="B161" s="74" t="s">
        <v>287</v>
      </c>
      <c r="C161" s="75">
        <v>0.376</v>
      </c>
      <c r="D161" s="76" t="s">
        <v>230</v>
      </c>
      <c r="E161" s="76" t="s">
        <v>13</v>
      </c>
      <c r="F161" s="77"/>
      <c r="G161" s="8">
        <v>0</v>
      </c>
      <c r="H161" s="8">
        <v>100</v>
      </c>
      <c r="I161" s="8">
        <v>0</v>
      </c>
      <c r="J161" s="20"/>
      <c r="K161" s="20"/>
      <c r="L161" s="9">
        <f t="shared" si="21"/>
        <v>0</v>
      </c>
      <c r="N161" s="11">
        <v>3</v>
      </c>
      <c r="O161" s="11">
        <v>0</v>
      </c>
      <c r="P161" s="9">
        <f t="shared" si="22"/>
        <v>3</v>
      </c>
      <c r="Q161" s="9">
        <f t="shared" si="25"/>
        <v>1.8719999999999999</v>
      </c>
      <c r="R161" s="9">
        <f t="shared" si="23"/>
        <v>1.8719999999999999</v>
      </c>
      <c r="S161" s="9">
        <f t="shared" si="17"/>
        <v>0</v>
      </c>
      <c r="T161" s="9">
        <f t="shared" si="18"/>
        <v>1.8719999999999999</v>
      </c>
      <c r="U161" s="9">
        <f t="shared" si="19"/>
        <v>0</v>
      </c>
      <c r="V161" s="9">
        <f t="shared" si="20"/>
        <v>1.8719999999999999</v>
      </c>
      <c r="W161" s="9">
        <f t="shared" si="24"/>
        <v>0</v>
      </c>
    </row>
    <row r="162" spans="1:27" ht="20.100000000000001" customHeight="1" x14ac:dyDescent="0.25">
      <c r="A162" s="73">
        <v>43495</v>
      </c>
      <c r="B162" s="74" t="s">
        <v>288</v>
      </c>
      <c r="C162" s="75">
        <v>0.27700000000000002</v>
      </c>
      <c r="D162" s="76" t="s">
        <v>230</v>
      </c>
      <c r="E162" s="76" t="s">
        <v>13</v>
      </c>
      <c r="F162" s="77"/>
      <c r="G162" s="8">
        <v>0</v>
      </c>
      <c r="H162" s="8">
        <v>100</v>
      </c>
      <c r="I162" s="8">
        <v>0</v>
      </c>
      <c r="J162" s="20"/>
      <c r="K162" s="20"/>
      <c r="L162" s="9">
        <f t="shared" si="21"/>
        <v>0</v>
      </c>
      <c r="N162" s="11">
        <v>2</v>
      </c>
      <c r="O162" s="11">
        <v>0</v>
      </c>
      <c r="P162" s="9">
        <f t="shared" si="22"/>
        <v>2</v>
      </c>
      <c r="Q162" s="9">
        <f t="shared" si="25"/>
        <v>1.248</v>
      </c>
      <c r="R162" s="9">
        <f t="shared" si="23"/>
        <v>1.248</v>
      </c>
      <c r="S162" s="9">
        <f t="shared" si="17"/>
        <v>0</v>
      </c>
      <c r="T162" s="9">
        <f t="shared" si="18"/>
        <v>1.248</v>
      </c>
      <c r="U162" s="9">
        <f t="shared" si="19"/>
        <v>0</v>
      </c>
      <c r="V162" s="9">
        <f t="shared" si="20"/>
        <v>1.248</v>
      </c>
      <c r="W162" s="9">
        <f t="shared" si="24"/>
        <v>0</v>
      </c>
    </row>
    <row r="163" spans="1:27" ht="20.100000000000001" customHeight="1" x14ac:dyDescent="0.25">
      <c r="A163" s="73">
        <v>43496</v>
      </c>
      <c r="B163" s="74" t="s">
        <v>289</v>
      </c>
      <c r="C163" s="75">
        <v>0.19</v>
      </c>
      <c r="D163" s="76" t="s">
        <v>230</v>
      </c>
      <c r="E163" s="76" t="s">
        <v>13</v>
      </c>
      <c r="F163" s="77"/>
      <c r="G163" s="8">
        <v>0</v>
      </c>
      <c r="H163" s="8">
        <v>100</v>
      </c>
      <c r="I163" s="8">
        <v>0</v>
      </c>
      <c r="J163" s="20"/>
      <c r="K163" s="20"/>
      <c r="L163" s="9">
        <f t="shared" si="21"/>
        <v>0</v>
      </c>
      <c r="N163" s="11">
        <v>0</v>
      </c>
      <c r="O163" s="11">
        <v>55</v>
      </c>
      <c r="P163" s="9">
        <f t="shared" si="22"/>
        <v>0.91666666666666663</v>
      </c>
      <c r="Q163" s="9">
        <f t="shared" si="25"/>
        <v>0.57199999999999995</v>
      </c>
      <c r="R163" s="9">
        <f t="shared" si="23"/>
        <v>0.57199999999999995</v>
      </c>
      <c r="S163" s="9">
        <f t="shared" si="17"/>
        <v>0</v>
      </c>
      <c r="T163" s="9">
        <f t="shared" si="18"/>
        <v>0.57199999999999995</v>
      </c>
      <c r="U163" s="9">
        <f t="shared" si="19"/>
        <v>0</v>
      </c>
      <c r="V163" s="9">
        <f t="shared" si="20"/>
        <v>0.57199999999999995</v>
      </c>
      <c r="W163" s="9">
        <f t="shared" si="24"/>
        <v>0</v>
      </c>
      <c r="X163" s="9">
        <f>SUM(U156:U163)</f>
        <v>0</v>
      </c>
      <c r="Y163" s="9">
        <f>100*X163/SUM(T156:T163)</f>
        <v>0</v>
      </c>
      <c r="Z163" s="9">
        <f>100*SUM(V156:V163)/SUM(T156:T163)</f>
        <v>100</v>
      </c>
      <c r="AA163" s="9">
        <f>100*SUM(W156:W163)/SUM(T156:T163)</f>
        <v>0</v>
      </c>
    </row>
    <row r="164" spans="1:27" s="48" customFormat="1" ht="20.100000000000001" customHeight="1" x14ac:dyDescent="0.25">
      <c r="A164" s="61">
        <v>43504</v>
      </c>
      <c r="B164" s="62" t="s">
        <v>290</v>
      </c>
      <c r="C164" s="78">
        <v>0.128</v>
      </c>
      <c r="D164" s="64" t="s">
        <v>230</v>
      </c>
      <c r="E164" s="64" t="s">
        <v>13</v>
      </c>
      <c r="F164" s="66"/>
      <c r="G164" s="24">
        <v>0</v>
      </c>
      <c r="H164" s="24">
        <v>100</v>
      </c>
      <c r="I164" s="24">
        <v>0</v>
      </c>
      <c r="J164" s="66"/>
      <c r="K164" s="66"/>
      <c r="L164" s="33">
        <f t="shared" si="21"/>
        <v>0</v>
      </c>
      <c r="N164" s="47">
        <v>1</v>
      </c>
      <c r="O164" s="47">
        <v>10</v>
      </c>
      <c r="P164" s="33">
        <f t="shared" si="22"/>
        <v>1.1666666666666667</v>
      </c>
      <c r="Q164" s="33">
        <f t="shared" si="25"/>
        <v>0.72800000000000009</v>
      </c>
      <c r="R164" s="33">
        <f t="shared" si="23"/>
        <v>0.72800000000000009</v>
      </c>
      <c r="S164" s="33">
        <f t="shared" si="17"/>
        <v>0</v>
      </c>
      <c r="T164" s="33">
        <f t="shared" si="18"/>
        <v>0.72800000000000009</v>
      </c>
      <c r="U164" s="33">
        <f t="shared" si="19"/>
        <v>0</v>
      </c>
      <c r="V164" s="33">
        <f t="shared" si="20"/>
        <v>0.72800000000000009</v>
      </c>
      <c r="W164" s="33">
        <f t="shared" si="24"/>
        <v>0</v>
      </c>
    </row>
    <row r="165" spans="1:27" ht="20.100000000000001" customHeight="1" x14ac:dyDescent="0.25">
      <c r="A165" s="57">
        <v>43505</v>
      </c>
      <c r="B165" s="58" t="s">
        <v>291</v>
      </c>
      <c r="C165" s="79">
        <v>0.20200000000000001</v>
      </c>
      <c r="D165" s="60" t="s">
        <v>235</v>
      </c>
      <c r="E165" s="80" t="s">
        <v>198</v>
      </c>
      <c r="F165" s="81" t="s">
        <v>468</v>
      </c>
      <c r="G165" s="8">
        <v>65</v>
      </c>
      <c r="H165" s="8">
        <v>35</v>
      </c>
      <c r="I165" s="8">
        <v>0</v>
      </c>
      <c r="J165" s="20"/>
      <c r="K165" s="8">
        <v>3571.6</v>
      </c>
      <c r="L165" s="9">
        <f t="shared" si="21"/>
        <v>0.99211111111111105</v>
      </c>
      <c r="N165" s="11">
        <v>2</v>
      </c>
      <c r="O165" s="11">
        <v>5</v>
      </c>
      <c r="P165" s="9">
        <f t="shared" si="22"/>
        <v>2.0833333333333335</v>
      </c>
      <c r="Q165" s="9">
        <f t="shared" si="25"/>
        <v>1.3</v>
      </c>
      <c r="R165" s="9">
        <f t="shared" si="23"/>
        <v>1.3</v>
      </c>
      <c r="S165" s="9">
        <f t="shared" si="17"/>
        <v>76.316239316239319</v>
      </c>
      <c r="T165" s="9">
        <f t="shared" si="18"/>
        <v>1.3</v>
      </c>
      <c r="U165" s="9">
        <f t="shared" si="19"/>
        <v>0.99211111111111105</v>
      </c>
      <c r="V165" s="9">
        <f t="shared" si="20"/>
        <v>0.45499999999999996</v>
      </c>
      <c r="W165" s="9">
        <f t="shared" si="24"/>
        <v>0</v>
      </c>
    </row>
    <row r="166" spans="1:27" ht="20.100000000000001" customHeight="1" x14ac:dyDescent="0.25">
      <c r="A166" s="57">
        <v>43506</v>
      </c>
      <c r="B166" s="58" t="s">
        <v>292</v>
      </c>
      <c r="C166" s="79">
        <v>0.28999999999999998</v>
      </c>
      <c r="D166" s="60" t="s">
        <v>433</v>
      </c>
      <c r="E166" s="60" t="s">
        <v>199</v>
      </c>
      <c r="F166" s="82" t="s">
        <v>469</v>
      </c>
      <c r="G166" s="8">
        <v>100</v>
      </c>
      <c r="H166" s="8">
        <v>0</v>
      </c>
      <c r="I166" s="8">
        <v>0</v>
      </c>
      <c r="J166" s="20"/>
      <c r="K166" s="8">
        <v>6297</v>
      </c>
      <c r="L166" s="9">
        <f t="shared" si="21"/>
        <v>1.7491666666666668</v>
      </c>
      <c r="N166" s="11">
        <v>3</v>
      </c>
      <c r="O166" s="11">
        <v>5</v>
      </c>
      <c r="P166" s="9">
        <f t="shared" si="22"/>
        <v>3.0833333333333335</v>
      </c>
      <c r="Q166" s="9">
        <f t="shared" si="25"/>
        <v>1.9240000000000002</v>
      </c>
      <c r="R166" s="9">
        <f t="shared" si="23"/>
        <v>1.7491666666666668</v>
      </c>
      <c r="S166" s="9">
        <f t="shared" si="17"/>
        <v>90.913028413028414</v>
      </c>
      <c r="T166" s="9">
        <f t="shared" si="18"/>
        <v>1.7491666666666668</v>
      </c>
      <c r="U166" s="9">
        <f t="shared" si="19"/>
        <v>1.7491666666666668</v>
      </c>
      <c r="V166" s="9">
        <f t="shared" si="20"/>
        <v>0</v>
      </c>
      <c r="W166" s="9">
        <f t="shared" si="24"/>
        <v>0</v>
      </c>
    </row>
    <row r="167" spans="1:27" ht="20.100000000000001" customHeight="1" x14ac:dyDescent="0.25">
      <c r="A167" s="57">
        <v>43507</v>
      </c>
      <c r="B167" s="58" t="s">
        <v>293</v>
      </c>
      <c r="C167" s="79">
        <v>0.38900000000000001</v>
      </c>
      <c r="D167" s="60" t="s">
        <v>230</v>
      </c>
      <c r="E167" s="60" t="s">
        <v>13</v>
      </c>
      <c r="F167" s="20"/>
      <c r="G167" s="8">
        <v>0</v>
      </c>
      <c r="H167" s="8">
        <v>100</v>
      </c>
      <c r="I167" s="8">
        <v>0</v>
      </c>
      <c r="J167" s="20"/>
      <c r="K167" s="20"/>
      <c r="L167" s="9">
        <f t="shared" si="21"/>
        <v>0</v>
      </c>
      <c r="N167" s="11">
        <v>4</v>
      </c>
      <c r="O167" s="11">
        <v>5</v>
      </c>
      <c r="P167" s="9">
        <f t="shared" si="22"/>
        <v>4.083333333333333</v>
      </c>
      <c r="Q167" s="9">
        <f t="shared" si="25"/>
        <v>2.5479999999999996</v>
      </c>
      <c r="R167" s="9">
        <f t="shared" si="23"/>
        <v>2.5479999999999996</v>
      </c>
      <c r="S167" s="9">
        <f t="shared" si="17"/>
        <v>0</v>
      </c>
      <c r="T167" s="9">
        <f t="shared" si="18"/>
        <v>2.5479999999999996</v>
      </c>
      <c r="U167" s="9">
        <f t="shared" si="19"/>
        <v>0</v>
      </c>
      <c r="V167" s="9">
        <f t="shared" si="20"/>
        <v>2.5479999999999996</v>
      </c>
      <c r="W167" s="9">
        <f t="shared" si="24"/>
        <v>0</v>
      </c>
    </row>
    <row r="168" spans="1:27" ht="20.100000000000001" customHeight="1" x14ac:dyDescent="0.25">
      <c r="A168" s="73">
        <v>43523</v>
      </c>
      <c r="B168" s="74" t="s">
        <v>295</v>
      </c>
      <c r="C168" s="83">
        <v>0.439</v>
      </c>
      <c r="D168" s="76" t="s">
        <v>230</v>
      </c>
      <c r="E168" s="76" t="s">
        <v>13</v>
      </c>
      <c r="F168" s="77"/>
      <c r="G168" s="8">
        <v>0</v>
      </c>
      <c r="H168" s="8">
        <v>100</v>
      </c>
      <c r="I168" s="8">
        <v>0</v>
      </c>
      <c r="J168" s="20"/>
      <c r="K168" s="20"/>
      <c r="L168" s="9">
        <f t="shared" si="21"/>
        <v>0</v>
      </c>
      <c r="N168" s="11">
        <v>2</v>
      </c>
      <c r="O168" s="11">
        <v>20</v>
      </c>
      <c r="P168" s="9">
        <f t="shared" si="22"/>
        <v>2.3333333333333335</v>
      </c>
      <c r="Q168" s="9">
        <f t="shared" si="25"/>
        <v>1.4560000000000002</v>
      </c>
      <c r="R168" s="9">
        <f t="shared" si="23"/>
        <v>1.4560000000000002</v>
      </c>
      <c r="S168" s="9">
        <f t="shared" si="17"/>
        <v>0</v>
      </c>
      <c r="T168" s="9">
        <f t="shared" si="18"/>
        <v>1.4560000000000002</v>
      </c>
      <c r="U168" s="9">
        <f t="shared" si="19"/>
        <v>0</v>
      </c>
      <c r="V168" s="9">
        <f t="shared" si="20"/>
        <v>1.4560000000000002</v>
      </c>
      <c r="W168" s="9">
        <f t="shared" si="24"/>
        <v>0</v>
      </c>
    </row>
    <row r="169" spans="1:27" ht="20.100000000000001" customHeight="1" x14ac:dyDescent="0.25">
      <c r="A169" s="73">
        <v>43524</v>
      </c>
      <c r="B169" s="74" t="s">
        <v>294</v>
      </c>
      <c r="C169" s="83">
        <v>0.33900000000000002</v>
      </c>
      <c r="D169" s="76" t="s">
        <v>230</v>
      </c>
      <c r="E169" s="76" t="s">
        <v>13</v>
      </c>
      <c r="F169" s="77"/>
      <c r="G169" s="8">
        <v>0</v>
      </c>
      <c r="H169" s="8">
        <v>100</v>
      </c>
      <c r="I169" s="8">
        <v>0</v>
      </c>
      <c r="J169" s="20"/>
      <c r="K169" s="20"/>
      <c r="L169" s="9">
        <f t="shared" si="21"/>
        <v>0</v>
      </c>
      <c r="N169" s="11">
        <v>1</v>
      </c>
      <c r="O169" s="11">
        <v>20</v>
      </c>
      <c r="P169" s="9">
        <f t="shared" si="22"/>
        <v>1.3333333333333333</v>
      </c>
      <c r="Q169" s="9">
        <f t="shared" si="25"/>
        <v>0.83199999999999996</v>
      </c>
      <c r="R169" s="9">
        <f t="shared" si="23"/>
        <v>0.83199999999999996</v>
      </c>
      <c r="S169" s="9">
        <f t="shared" si="17"/>
        <v>0</v>
      </c>
      <c r="T169" s="9">
        <f t="shared" si="18"/>
        <v>0.83199999999999996</v>
      </c>
      <c r="U169" s="9">
        <f t="shared" si="19"/>
        <v>0</v>
      </c>
      <c r="V169" s="9">
        <f t="shared" si="20"/>
        <v>0.83199999999999996</v>
      </c>
      <c r="W169" s="9">
        <f t="shared" si="24"/>
        <v>0</v>
      </c>
      <c r="X169" s="9">
        <f>SUM(U164:U169)</f>
        <v>2.7412777777777779</v>
      </c>
      <c r="Y169" s="9">
        <f>100*X169/SUM(T164:T169)</f>
        <v>31.826596231867235</v>
      </c>
      <c r="Z169" s="9">
        <f>100*SUM(V164:V169)/SUM(T164:T169)</f>
        <v>69.881383153698792</v>
      </c>
      <c r="AA169" s="9">
        <f>100*SUM(W164:W169)/SUM(T164:T169)</f>
        <v>0</v>
      </c>
    </row>
    <row r="170" spans="1:27" s="48" customFormat="1" ht="20.100000000000001" customHeight="1" x14ac:dyDescent="0.25">
      <c r="A170" s="61">
        <v>43525</v>
      </c>
      <c r="B170" s="62" t="s">
        <v>139</v>
      </c>
      <c r="C170" s="78">
        <v>0.248</v>
      </c>
      <c r="D170" s="84" t="s">
        <v>230</v>
      </c>
      <c r="E170" s="84" t="s">
        <v>199</v>
      </c>
      <c r="F170" s="85" t="s">
        <v>472</v>
      </c>
      <c r="G170" s="24">
        <v>85</v>
      </c>
      <c r="H170" s="24">
        <v>0</v>
      </c>
      <c r="I170" s="24">
        <v>15</v>
      </c>
      <c r="J170" s="66"/>
      <c r="K170" s="24">
        <v>772.01800000000003</v>
      </c>
      <c r="L170" s="33">
        <f t="shared" si="21"/>
        <v>0.21444944444444444</v>
      </c>
      <c r="N170" s="47">
        <v>0</v>
      </c>
      <c r="O170" s="47">
        <v>30</v>
      </c>
      <c r="P170" s="33">
        <f t="shared" si="22"/>
        <v>0.5</v>
      </c>
      <c r="Q170" s="33">
        <f t="shared" si="25"/>
        <v>0.312</v>
      </c>
      <c r="R170" s="33">
        <f t="shared" si="23"/>
        <v>0.312</v>
      </c>
      <c r="S170" s="33">
        <f t="shared" si="17"/>
        <v>68.733796296296305</v>
      </c>
      <c r="T170" s="33">
        <f t="shared" si="18"/>
        <v>0.312</v>
      </c>
      <c r="U170" s="33">
        <f t="shared" si="19"/>
        <v>0.21444944444444444</v>
      </c>
      <c r="V170" s="33">
        <f t="shared" si="20"/>
        <v>0</v>
      </c>
      <c r="W170" s="33">
        <f t="shared" si="24"/>
        <v>4.6800000000000001E-2</v>
      </c>
    </row>
    <row r="171" spans="1:27" ht="20.100000000000001" customHeight="1" x14ac:dyDescent="0.25">
      <c r="A171" s="82">
        <v>43533</v>
      </c>
      <c r="B171" s="58" t="s">
        <v>296</v>
      </c>
      <c r="C171" s="79">
        <v>8.5999999999999993E-2</v>
      </c>
      <c r="D171" s="80" t="s">
        <v>230</v>
      </c>
      <c r="E171" s="80" t="s">
        <v>199</v>
      </c>
      <c r="F171" s="81" t="s">
        <v>474</v>
      </c>
      <c r="G171" s="8">
        <v>97</v>
      </c>
      <c r="H171" s="8">
        <v>3</v>
      </c>
      <c r="I171" s="8">
        <v>0</v>
      </c>
      <c r="J171" s="86"/>
      <c r="K171" s="8">
        <v>1447.4</v>
      </c>
      <c r="L171" s="9">
        <f t="shared" si="21"/>
        <v>0.40205555555555555</v>
      </c>
      <c r="N171" s="11">
        <v>0</v>
      </c>
      <c r="O171" s="11">
        <v>30</v>
      </c>
      <c r="P171" s="9">
        <f t="shared" si="22"/>
        <v>0.5</v>
      </c>
      <c r="Q171" s="9">
        <f t="shared" si="25"/>
        <v>0.312</v>
      </c>
      <c r="R171" s="9">
        <f t="shared" si="23"/>
        <v>0.312</v>
      </c>
      <c r="S171" s="9">
        <f t="shared" si="17"/>
        <v>128.8639601139601</v>
      </c>
      <c r="T171" s="9">
        <f t="shared" si="18"/>
        <v>0.312</v>
      </c>
      <c r="U171" s="9">
        <f t="shared" si="19"/>
        <v>0.40205555555555555</v>
      </c>
      <c r="V171" s="9">
        <f t="shared" si="20"/>
        <v>9.3600000000000003E-3</v>
      </c>
      <c r="W171" s="9">
        <f t="shared" si="24"/>
        <v>0</v>
      </c>
    </row>
    <row r="172" spans="1:27" ht="20.100000000000001" customHeight="1" x14ac:dyDescent="0.25">
      <c r="A172" s="82">
        <v>43534</v>
      </c>
      <c r="B172" s="58" t="s">
        <v>297</v>
      </c>
      <c r="C172" s="79">
        <v>0.153</v>
      </c>
      <c r="D172" s="60" t="s">
        <v>433</v>
      </c>
      <c r="E172" s="80" t="s">
        <v>199</v>
      </c>
      <c r="F172" s="20" t="s">
        <v>475</v>
      </c>
      <c r="G172" s="8">
        <v>100</v>
      </c>
      <c r="H172" s="8">
        <v>0</v>
      </c>
      <c r="I172" s="8">
        <v>0</v>
      </c>
      <c r="J172" s="20"/>
      <c r="K172" s="8">
        <v>3639.2</v>
      </c>
      <c r="L172" s="9">
        <f t="shared" si="21"/>
        <v>1.0108888888888889</v>
      </c>
      <c r="N172" s="11">
        <v>1</v>
      </c>
      <c r="O172" s="11">
        <v>30</v>
      </c>
      <c r="P172" s="9">
        <f t="shared" si="22"/>
        <v>1.5</v>
      </c>
      <c r="Q172" s="9">
        <f t="shared" si="25"/>
        <v>0.93599999999999994</v>
      </c>
      <c r="R172" s="9">
        <f t="shared" si="23"/>
        <v>1.0108888888888889</v>
      </c>
      <c r="S172" s="9">
        <f t="shared" si="17"/>
        <v>108.00094966761634</v>
      </c>
      <c r="T172" s="9">
        <f t="shared" si="18"/>
        <v>1.0108888888888889</v>
      </c>
      <c r="U172" s="9">
        <f t="shared" si="19"/>
        <v>1.0108888888888889</v>
      </c>
      <c r="V172" s="9">
        <f t="shared" si="20"/>
        <v>0</v>
      </c>
      <c r="W172" s="9">
        <f t="shared" si="24"/>
        <v>0</v>
      </c>
    </row>
    <row r="173" spans="1:27" ht="20.100000000000001" customHeight="1" x14ac:dyDescent="0.25">
      <c r="A173" s="82">
        <v>43535</v>
      </c>
      <c r="B173" s="58" t="s">
        <v>298</v>
      </c>
      <c r="C173" s="79">
        <v>0.23499999999999999</v>
      </c>
      <c r="D173" s="60" t="s">
        <v>230</v>
      </c>
      <c r="E173" s="60" t="s">
        <v>13</v>
      </c>
      <c r="F173" s="20"/>
      <c r="G173" s="8">
        <v>0</v>
      </c>
      <c r="H173" s="8">
        <v>100</v>
      </c>
      <c r="I173" s="8">
        <v>0</v>
      </c>
      <c r="J173" s="20"/>
      <c r="K173" s="20"/>
      <c r="L173" s="9">
        <f t="shared" si="21"/>
        <v>0</v>
      </c>
      <c r="N173" s="11">
        <v>2</v>
      </c>
      <c r="O173" s="11">
        <v>30</v>
      </c>
      <c r="P173" s="9">
        <f t="shared" si="22"/>
        <v>2.5</v>
      </c>
      <c r="Q173" s="9">
        <f t="shared" si="25"/>
        <v>1.56</v>
      </c>
      <c r="R173" s="9">
        <f t="shared" si="23"/>
        <v>1.56</v>
      </c>
      <c r="S173" s="9">
        <f t="shared" si="17"/>
        <v>0</v>
      </c>
      <c r="T173" s="9">
        <f t="shared" si="18"/>
        <v>1.56</v>
      </c>
      <c r="U173" s="9">
        <f t="shared" si="19"/>
        <v>0</v>
      </c>
      <c r="V173" s="9">
        <f t="shared" si="20"/>
        <v>1.56</v>
      </c>
      <c r="W173" s="9">
        <f t="shared" si="24"/>
        <v>0</v>
      </c>
    </row>
    <row r="174" spans="1:27" ht="20.100000000000001" customHeight="1" x14ac:dyDescent="0.25">
      <c r="A174" s="82">
        <v>43536</v>
      </c>
      <c r="B174" s="58" t="s">
        <v>299</v>
      </c>
      <c r="C174" s="79">
        <v>0.33200000000000002</v>
      </c>
      <c r="D174" s="60" t="s">
        <v>230</v>
      </c>
      <c r="E174" s="60" t="s">
        <v>476</v>
      </c>
      <c r="F174" s="20"/>
      <c r="G174" s="8">
        <v>0</v>
      </c>
      <c r="H174" s="8">
        <v>100</v>
      </c>
      <c r="I174" s="8">
        <v>0</v>
      </c>
      <c r="J174" s="20"/>
      <c r="K174" s="20"/>
      <c r="L174" s="9">
        <f t="shared" si="21"/>
        <v>0</v>
      </c>
      <c r="N174" s="11">
        <v>3</v>
      </c>
      <c r="O174" s="11">
        <v>30</v>
      </c>
      <c r="P174" s="9">
        <f t="shared" si="22"/>
        <v>3.5</v>
      </c>
      <c r="Q174" s="9">
        <f t="shared" si="25"/>
        <v>2.1840000000000002</v>
      </c>
      <c r="R174" s="9">
        <f t="shared" si="23"/>
        <v>2.1840000000000002</v>
      </c>
      <c r="S174" s="9">
        <f t="shared" si="17"/>
        <v>0</v>
      </c>
      <c r="T174" s="9">
        <f t="shared" si="18"/>
        <v>2.1840000000000002</v>
      </c>
      <c r="U174" s="9">
        <f t="shared" si="19"/>
        <v>0</v>
      </c>
      <c r="V174" s="9">
        <f t="shared" si="20"/>
        <v>2.1840000000000002</v>
      </c>
      <c r="W174" s="9">
        <f t="shared" si="24"/>
        <v>0</v>
      </c>
    </row>
    <row r="175" spans="1:27" ht="20.100000000000001" customHeight="1" x14ac:dyDescent="0.25">
      <c r="A175" s="82">
        <v>43537</v>
      </c>
      <c r="B175" s="58" t="s">
        <v>300</v>
      </c>
      <c r="C175" s="79">
        <v>0.441</v>
      </c>
      <c r="D175" s="80" t="s">
        <v>230</v>
      </c>
      <c r="E175" s="80" t="s">
        <v>199</v>
      </c>
      <c r="F175" s="82" t="s">
        <v>477</v>
      </c>
      <c r="G175" s="8">
        <v>41</v>
      </c>
      <c r="H175" s="8">
        <v>59</v>
      </c>
      <c r="I175" s="8">
        <v>0</v>
      </c>
      <c r="J175" s="86"/>
      <c r="K175" s="8">
        <v>4231.6000000000004</v>
      </c>
      <c r="L175" s="9">
        <f t="shared" si="21"/>
        <v>1.1754444444444445</v>
      </c>
      <c r="N175" s="11">
        <v>4</v>
      </c>
      <c r="O175" s="11">
        <v>30</v>
      </c>
      <c r="P175" s="9">
        <f t="shared" si="22"/>
        <v>4.5</v>
      </c>
      <c r="Q175" s="9">
        <f t="shared" si="25"/>
        <v>2.8079999999999998</v>
      </c>
      <c r="R175" s="9">
        <f t="shared" si="23"/>
        <v>2.8079999999999998</v>
      </c>
      <c r="S175" s="9">
        <f t="shared" si="17"/>
        <v>41.860557138334919</v>
      </c>
      <c r="T175" s="9">
        <f t="shared" si="18"/>
        <v>2.8079999999999998</v>
      </c>
      <c r="U175" s="9">
        <f t="shared" si="19"/>
        <v>1.1754444444444445</v>
      </c>
      <c r="V175" s="9">
        <f t="shared" si="20"/>
        <v>1.6567199999999997</v>
      </c>
      <c r="W175" s="9">
        <f t="shared" si="24"/>
        <v>0</v>
      </c>
      <c r="X175" s="9"/>
      <c r="Y175" s="9"/>
      <c r="Z175" s="9"/>
      <c r="AA175" s="9"/>
    </row>
    <row r="176" spans="1:27" ht="20.100000000000001" customHeight="1" x14ac:dyDescent="0.25">
      <c r="A176" s="87">
        <v>43553</v>
      </c>
      <c r="B176" s="88" t="s">
        <v>301</v>
      </c>
      <c r="C176" s="89">
        <v>0.41</v>
      </c>
      <c r="D176" s="116" t="s">
        <v>230</v>
      </c>
      <c r="E176" s="88" t="s">
        <v>13</v>
      </c>
      <c r="F176" s="88"/>
      <c r="G176" s="11">
        <v>0</v>
      </c>
      <c r="H176" s="11">
        <v>100</v>
      </c>
      <c r="I176" s="11">
        <v>0</v>
      </c>
      <c r="L176" s="9">
        <f t="shared" si="21"/>
        <v>0</v>
      </c>
      <c r="N176" s="11">
        <v>1</v>
      </c>
      <c r="O176" s="11">
        <v>0</v>
      </c>
      <c r="P176" s="9">
        <f t="shared" si="22"/>
        <v>1</v>
      </c>
      <c r="Q176" s="9">
        <f t="shared" si="25"/>
        <v>0.624</v>
      </c>
      <c r="R176" s="9">
        <f t="shared" si="23"/>
        <v>0.624</v>
      </c>
      <c r="S176" s="9">
        <f t="shared" si="17"/>
        <v>0</v>
      </c>
      <c r="T176" s="9">
        <f t="shared" si="18"/>
        <v>0.624</v>
      </c>
      <c r="U176" s="9">
        <f t="shared" si="19"/>
        <v>0</v>
      </c>
      <c r="V176" s="9">
        <f t="shared" si="20"/>
        <v>0.624</v>
      </c>
      <c r="W176" s="9">
        <f t="shared" si="24"/>
        <v>0</v>
      </c>
      <c r="X176" s="9"/>
      <c r="Y176" s="9"/>
      <c r="Z176" s="9"/>
      <c r="AA176" s="9"/>
    </row>
    <row r="177" spans="1:27" ht="20.100000000000001" customHeight="1" x14ac:dyDescent="0.25">
      <c r="A177" s="87">
        <v>43554</v>
      </c>
      <c r="B177" s="88" t="s">
        <v>302</v>
      </c>
      <c r="C177" s="89">
        <v>0.316</v>
      </c>
      <c r="D177" s="116" t="s">
        <v>230</v>
      </c>
      <c r="E177" s="88" t="s">
        <v>13</v>
      </c>
      <c r="F177" s="88"/>
      <c r="G177" s="11">
        <v>0</v>
      </c>
      <c r="H177" s="11">
        <v>100</v>
      </c>
      <c r="I177" s="11">
        <v>0</v>
      </c>
      <c r="L177" s="9">
        <f t="shared" si="21"/>
        <v>0</v>
      </c>
      <c r="N177" s="11">
        <v>0</v>
      </c>
      <c r="O177" s="11">
        <v>25</v>
      </c>
      <c r="P177" s="9">
        <f t="shared" si="22"/>
        <v>0.41666666666666669</v>
      </c>
      <c r="Q177" s="9">
        <f t="shared" si="25"/>
        <v>0.26</v>
      </c>
      <c r="R177" s="9">
        <f t="shared" si="23"/>
        <v>0.26</v>
      </c>
      <c r="S177" s="9">
        <f t="shared" si="17"/>
        <v>0</v>
      </c>
      <c r="T177" s="9">
        <f t="shared" si="18"/>
        <v>0.26</v>
      </c>
      <c r="U177" s="9">
        <f t="shared" ref="U177:U183" si="26">L177</f>
        <v>0</v>
      </c>
      <c r="V177" s="9">
        <f t="shared" si="20"/>
        <v>0.26</v>
      </c>
      <c r="W177" s="9">
        <f t="shared" si="24"/>
        <v>0</v>
      </c>
      <c r="X177" s="9">
        <f>SUM(U170:U177)</f>
        <v>2.8028383333333333</v>
      </c>
      <c r="Y177" s="9">
        <f>100*X177/SUM(T170:T177)</f>
        <v>30.89926872289865</v>
      </c>
      <c r="Z177" s="9">
        <f>100*SUM(V170:V177)/SUM(T170:T177)</f>
        <v>69.387687106494511</v>
      </c>
      <c r="AA177" s="9">
        <f>100*SUM(W170:W177)/SUM(T170:T177)</f>
        <v>0.51593620617849523</v>
      </c>
    </row>
    <row r="178" spans="1:27" s="48" customFormat="1" ht="20.100000000000001" customHeight="1" x14ac:dyDescent="0.25">
      <c r="A178" s="90">
        <v>43563</v>
      </c>
      <c r="B178" s="91" t="s">
        <v>304</v>
      </c>
      <c r="C178" s="92">
        <v>0.115</v>
      </c>
      <c r="D178" s="117" t="s">
        <v>230</v>
      </c>
      <c r="E178" s="91" t="s">
        <v>13</v>
      </c>
      <c r="F178" s="91"/>
      <c r="G178" s="47">
        <v>0</v>
      </c>
      <c r="H178" s="47">
        <v>100</v>
      </c>
      <c r="I178" s="47">
        <v>0</v>
      </c>
      <c r="L178" s="33">
        <f t="shared" si="21"/>
        <v>0</v>
      </c>
      <c r="N178" s="47">
        <v>0</v>
      </c>
      <c r="O178" s="47">
        <v>50</v>
      </c>
      <c r="P178" s="33">
        <f t="shared" si="22"/>
        <v>0.83333333333333337</v>
      </c>
      <c r="Q178" s="33">
        <f t="shared" si="25"/>
        <v>0.52</v>
      </c>
      <c r="R178" s="33">
        <f t="shared" si="23"/>
        <v>0.52</v>
      </c>
      <c r="S178" s="33">
        <f t="shared" si="17"/>
        <v>0</v>
      </c>
      <c r="T178" s="33">
        <f t="shared" si="18"/>
        <v>0.52</v>
      </c>
      <c r="U178" s="33">
        <f t="shared" si="26"/>
        <v>0</v>
      </c>
      <c r="V178" s="33">
        <f t="shared" si="20"/>
        <v>0.52</v>
      </c>
      <c r="W178" s="33">
        <f t="shared" si="24"/>
        <v>0</v>
      </c>
    </row>
    <row r="179" spans="1:27" ht="20.100000000000001" customHeight="1" x14ac:dyDescent="0.25">
      <c r="A179" s="26">
        <v>43564</v>
      </c>
      <c r="B179" s="10" t="s">
        <v>305</v>
      </c>
      <c r="C179" s="93">
        <v>0.19500000000000001</v>
      </c>
      <c r="D179" s="51" t="s">
        <v>230</v>
      </c>
      <c r="E179" s="10" t="s">
        <v>13</v>
      </c>
      <c r="F179" s="10"/>
      <c r="G179" s="11">
        <v>0</v>
      </c>
      <c r="H179" s="11">
        <v>100</v>
      </c>
      <c r="I179" s="11">
        <v>0</v>
      </c>
      <c r="L179" s="9">
        <f t="shared" si="21"/>
        <v>0</v>
      </c>
      <c r="N179" s="11">
        <v>1</v>
      </c>
      <c r="O179" s="11">
        <v>55</v>
      </c>
      <c r="P179" s="9">
        <f t="shared" si="22"/>
        <v>1.9166666666666665</v>
      </c>
      <c r="Q179" s="9">
        <f t="shared" si="25"/>
        <v>1.196</v>
      </c>
      <c r="R179" s="9">
        <f t="shared" si="23"/>
        <v>1.196</v>
      </c>
      <c r="S179" s="9">
        <f t="shared" si="17"/>
        <v>0</v>
      </c>
      <c r="T179" s="9">
        <f t="shared" si="18"/>
        <v>1.196</v>
      </c>
      <c r="U179" s="9">
        <f t="shared" si="26"/>
        <v>0</v>
      </c>
      <c r="V179" s="9">
        <f t="shared" si="20"/>
        <v>1.196</v>
      </c>
      <c r="W179" s="9">
        <f t="shared" si="24"/>
        <v>0</v>
      </c>
    </row>
    <row r="180" spans="1:27" ht="20.100000000000001" customHeight="1" x14ac:dyDescent="0.25">
      <c r="A180" s="26">
        <v>43565</v>
      </c>
      <c r="B180" s="10" t="s">
        <v>306</v>
      </c>
      <c r="C180" s="93">
        <v>0.29099999999999998</v>
      </c>
      <c r="D180" s="51" t="s">
        <v>222</v>
      </c>
      <c r="E180" s="10" t="s">
        <v>199</v>
      </c>
      <c r="F180" s="10" t="s">
        <v>475</v>
      </c>
      <c r="G180" s="11">
        <v>100</v>
      </c>
      <c r="H180" s="11">
        <v>0</v>
      </c>
      <c r="I180" s="11">
        <v>0</v>
      </c>
      <c r="K180" s="31">
        <v>6422.3</v>
      </c>
      <c r="L180" s="9">
        <f t="shared" si="21"/>
        <v>1.7839722222222223</v>
      </c>
      <c r="N180" s="11">
        <v>2</v>
      </c>
      <c r="O180" s="11">
        <v>55</v>
      </c>
      <c r="P180" s="9">
        <f t="shared" si="22"/>
        <v>2.9166666666666665</v>
      </c>
      <c r="Q180" s="9">
        <f t="shared" si="25"/>
        <v>1.8199999999999998</v>
      </c>
      <c r="R180" s="9">
        <f t="shared" si="23"/>
        <v>1.7839722222222223</v>
      </c>
      <c r="S180" s="9">
        <f t="shared" si="17"/>
        <v>98.020451770451785</v>
      </c>
      <c r="T180" s="9">
        <f t="shared" si="18"/>
        <v>1.7839722222222223</v>
      </c>
      <c r="U180" s="9">
        <f t="shared" si="26"/>
        <v>1.7839722222222223</v>
      </c>
      <c r="V180" s="9">
        <f t="shared" si="20"/>
        <v>0</v>
      </c>
      <c r="W180" s="9">
        <f t="shared" si="24"/>
        <v>0</v>
      </c>
    </row>
    <row r="181" spans="1:27" ht="20.100000000000001" customHeight="1" x14ac:dyDescent="0.25">
      <c r="A181" s="26">
        <v>43566</v>
      </c>
      <c r="B181" s="10" t="s">
        <v>307</v>
      </c>
      <c r="C181" s="93">
        <v>0.4</v>
      </c>
      <c r="D181" s="51" t="s">
        <v>230</v>
      </c>
      <c r="E181" s="10" t="s">
        <v>13</v>
      </c>
      <c r="F181" s="10"/>
      <c r="G181" s="11">
        <v>0</v>
      </c>
      <c r="H181" s="11">
        <v>100</v>
      </c>
      <c r="I181" s="11">
        <v>0</v>
      </c>
      <c r="L181" s="9">
        <f t="shared" si="21"/>
        <v>0</v>
      </c>
      <c r="N181" s="11">
        <v>3</v>
      </c>
      <c r="O181" s="11">
        <v>55</v>
      </c>
      <c r="P181" s="9">
        <f t="shared" ref="P181:P183" si="27">N181+O181/60</f>
        <v>3.9166666666666665</v>
      </c>
      <c r="Q181" s="9">
        <f t="shared" ref="Q181:Q183" si="28">P181*62.4%</f>
        <v>2.444</v>
      </c>
      <c r="R181" s="9">
        <f t="shared" ref="R181:R183" si="29">IF(G181=100,L181,Q181)</f>
        <v>2.444</v>
      </c>
      <c r="S181" s="9">
        <f t="shared" ref="S181:S183" si="30">100*L181/Q181</f>
        <v>0</v>
      </c>
      <c r="T181" s="9">
        <f t="shared" ref="T181:T183" si="31">R181</f>
        <v>2.444</v>
      </c>
      <c r="U181" s="9">
        <f t="shared" si="26"/>
        <v>0</v>
      </c>
      <c r="V181" s="9">
        <f t="shared" ref="V181:V183" si="32">T181*H181%</f>
        <v>2.444</v>
      </c>
      <c r="W181" s="9">
        <f t="shared" ref="W181:W183" si="33">T181*I181%</f>
        <v>0</v>
      </c>
    </row>
    <row r="182" spans="1:27" ht="20.100000000000001" customHeight="1" x14ac:dyDescent="0.25">
      <c r="A182" s="87">
        <v>43583</v>
      </c>
      <c r="B182" s="88" t="s">
        <v>308</v>
      </c>
      <c r="C182" s="89">
        <v>0.39</v>
      </c>
      <c r="D182" s="116" t="s">
        <v>230</v>
      </c>
      <c r="E182" s="88" t="s">
        <v>13</v>
      </c>
      <c r="F182" s="88"/>
      <c r="G182" s="11">
        <v>0</v>
      </c>
      <c r="H182" s="11">
        <v>100</v>
      </c>
      <c r="I182" s="11">
        <v>0</v>
      </c>
      <c r="L182" s="9">
        <f t="shared" si="21"/>
        <v>0</v>
      </c>
      <c r="N182" s="11">
        <v>0</v>
      </c>
      <c r="O182" s="11">
        <v>35</v>
      </c>
      <c r="P182" s="9">
        <f t="shared" si="27"/>
        <v>0.58333333333333337</v>
      </c>
      <c r="Q182" s="9">
        <f t="shared" si="28"/>
        <v>0.36400000000000005</v>
      </c>
      <c r="R182" s="9">
        <f t="shared" si="29"/>
        <v>0.36400000000000005</v>
      </c>
      <c r="S182" s="9">
        <f t="shared" si="30"/>
        <v>0</v>
      </c>
      <c r="T182" s="9">
        <f t="shared" si="31"/>
        <v>0.36400000000000005</v>
      </c>
      <c r="U182" s="9">
        <f t="shared" si="26"/>
        <v>0</v>
      </c>
      <c r="V182" s="9">
        <f t="shared" si="32"/>
        <v>0.36400000000000005</v>
      </c>
      <c r="W182" s="9">
        <f t="shared" si="33"/>
        <v>0</v>
      </c>
      <c r="X182" s="9">
        <f>SUM(U178:U182)</f>
        <v>1.7839722222222223</v>
      </c>
      <c r="Y182" s="9">
        <f>100*X182/SUM(T178:T182)</f>
        <v>28.281231422318321</v>
      </c>
      <c r="Z182" s="9">
        <f>100*SUM(V178:V182)/SUM(T178:T182)</f>
        <v>71.718768577681672</v>
      </c>
      <c r="AA182" s="9">
        <f>100*SUM(W178:W182)/SUM(T178:T182)</f>
        <v>0</v>
      </c>
    </row>
    <row r="183" spans="1:27" s="91" customFormat="1" ht="20.100000000000001" customHeight="1" x14ac:dyDescent="0.25">
      <c r="A183" s="94">
        <v>43592</v>
      </c>
      <c r="B183" s="62" t="s">
        <v>309</v>
      </c>
      <c r="C183" s="78">
        <v>8.8999999999999996E-2</v>
      </c>
      <c r="D183" s="60">
        <f>'NELIOTA (p&lt;0.5)'!E222</f>
        <v>0</v>
      </c>
      <c r="E183" s="58" t="str">
        <f>'NELIOTA (p&lt;0.5)'!F222</f>
        <v>good</v>
      </c>
      <c r="F183" s="58"/>
      <c r="G183" s="24">
        <v>100</v>
      </c>
      <c r="H183" s="24">
        <v>0</v>
      </c>
      <c r="I183" s="24">
        <v>0</v>
      </c>
      <c r="K183" s="25">
        <v>1106</v>
      </c>
      <c r="L183" s="33">
        <f t="shared" si="21"/>
        <v>0.30722222222222223</v>
      </c>
      <c r="N183" s="47">
        <v>0</v>
      </c>
      <c r="O183" s="47">
        <v>29.55</v>
      </c>
      <c r="P183" s="33">
        <f t="shared" si="27"/>
        <v>0.49249999999999999</v>
      </c>
      <c r="Q183" s="33">
        <f t="shared" si="28"/>
        <v>0.30731999999999998</v>
      </c>
      <c r="R183" s="33">
        <f t="shared" si="29"/>
        <v>0.30722222222222223</v>
      </c>
      <c r="S183" s="33">
        <f t="shared" si="30"/>
        <v>99.968183724528899</v>
      </c>
      <c r="T183" s="33">
        <f t="shared" si="31"/>
        <v>0.30722222222222223</v>
      </c>
      <c r="U183" s="33">
        <f t="shared" si="26"/>
        <v>0.30722222222222223</v>
      </c>
      <c r="V183" s="33">
        <f t="shared" si="32"/>
        <v>0</v>
      </c>
      <c r="W183" s="33">
        <f t="shared" si="33"/>
        <v>0</v>
      </c>
    </row>
    <row r="184" spans="1:27" ht="20.100000000000001" customHeight="1" x14ac:dyDescent="0.25">
      <c r="A184" s="82">
        <v>43593</v>
      </c>
      <c r="B184" s="58" t="s">
        <v>310</v>
      </c>
      <c r="C184" s="79">
        <v>0.16500000000000001</v>
      </c>
      <c r="D184" s="60">
        <f>'NELIOTA (p&lt;0.5)'!E223</f>
        <v>0</v>
      </c>
      <c r="E184" s="58" t="str">
        <f>'NELIOTA (p&lt;0.5)'!F223</f>
        <v>Cloudiness</v>
      </c>
      <c r="F184" s="58"/>
      <c r="G184" s="8">
        <v>0</v>
      </c>
      <c r="H184" s="8">
        <v>100</v>
      </c>
      <c r="I184" s="8">
        <v>0</v>
      </c>
      <c r="K184" s="95"/>
      <c r="L184" s="9"/>
      <c r="N184" s="11">
        <v>1</v>
      </c>
      <c r="O184" s="11">
        <v>25</v>
      </c>
      <c r="P184" s="9">
        <f t="shared" ref="P184" si="34">N184+O184/60</f>
        <v>1.4166666666666667</v>
      </c>
      <c r="Q184" s="9">
        <f t="shared" ref="Q184" si="35">P184*62.4%</f>
        <v>0.88400000000000001</v>
      </c>
      <c r="R184" s="9">
        <f t="shared" ref="R184" si="36">IF(G184=100,L184,Q184)</f>
        <v>0.88400000000000001</v>
      </c>
      <c r="S184" s="9">
        <f t="shared" ref="S184" si="37">100*L184/Q184</f>
        <v>0</v>
      </c>
      <c r="T184" s="9">
        <f t="shared" ref="T184" si="38">R184</f>
        <v>0.88400000000000001</v>
      </c>
      <c r="U184" s="9">
        <f t="shared" ref="U184" si="39">L184</f>
        <v>0</v>
      </c>
      <c r="V184" s="9">
        <f t="shared" ref="V184" si="40">T184*H184%</f>
        <v>0.88400000000000001</v>
      </c>
      <c r="W184" s="9">
        <f t="shared" ref="W184" si="41">T184*I184%</f>
        <v>0</v>
      </c>
      <c r="X184" s="96"/>
      <c r="Y184" s="96"/>
    </row>
    <row r="185" spans="1:27" ht="20.100000000000001" customHeight="1" x14ac:dyDescent="0.25">
      <c r="A185" s="82">
        <v>43594</v>
      </c>
      <c r="B185" s="58" t="s">
        <v>311</v>
      </c>
      <c r="C185" s="79">
        <v>0.26</v>
      </c>
      <c r="D185" s="60">
        <f>'NELIOTA (p&lt;0.5)'!E224</f>
        <v>0</v>
      </c>
      <c r="E185" s="58" t="str">
        <f>'NELIOTA (p&lt;0.5)'!F224</f>
        <v>Cloudiness</v>
      </c>
      <c r="F185" s="58"/>
      <c r="G185" s="8">
        <v>0</v>
      </c>
      <c r="H185" s="8">
        <v>100</v>
      </c>
      <c r="I185" s="8">
        <v>0</v>
      </c>
      <c r="K185" s="95"/>
      <c r="L185" s="9"/>
      <c r="N185" s="11">
        <v>2</v>
      </c>
      <c r="O185" s="11">
        <v>20</v>
      </c>
      <c r="P185" s="9">
        <f t="shared" ref="P185:P188" si="42">N185+O185/60</f>
        <v>2.3333333333333335</v>
      </c>
      <c r="Q185" s="9">
        <f t="shared" ref="Q185:Q188" si="43">P185*62.4%</f>
        <v>1.4560000000000002</v>
      </c>
      <c r="R185" s="9">
        <f t="shared" ref="R185:R188" si="44">IF(G185=100,L185,Q185)</f>
        <v>1.4560000000000002</v>
      </c>
      <c r="S185" s="9">
        <f t="shared" ref="S185:S188" si="45">100*L185/Q185</f>
        <v>0</v>
      </c>
      <c r="T185" s="9">
        <f t="shared" ref="T185:T188" si="46">R185</f>
        <v>1.4560000000000002</v>
      </c>
      <c r="U185" s="9">
        <f t="shared" ref="U185:U188" si="47">L185</f>
        <v>0</v>
      </c>
      <c r="V185" s="9">
        <f t="shared" ref="V185:V188" si="48">T185*H185%</f>
        <v>1.4560000000000002</v>
      </c>
      <c r="W185" s="9">
        <f t="shared" ref="W185:W188" si="49">T185*I185%</f>
        <v>0</v>
      </c>
    </row>
    <row r="186" spans="1:27" ht="20.100000000000001" customHeight="1" x14ac:dyDescent="0.25">
      <c r="A186" s="82">
        <v>43595</v>
      </c>
      <c r="B186" s="58" t="s">
        <v>312</v>
      </c>
      <c r="C186" s="79">
        <v>0.36899999999999999</v>
      </c>
      <c r="D186" s="60">
        <f>'NELIOTA (p&lt;0.5)'!E225</f>
        <v>0</v>
      </c>
      <c r="E186" s="58" t="str">
        <f>'NELIOTA (p&lt;0.5)'!F225</f>
        <v>good</v>
      </c>
      <c r="F186" s="58" t="str">
        <f>'NELIOTA (p&lt;0.5)'!G225</f>
        <v>sporadic clouds</v>
      </c>
      <c r="G186" s="8">
        <v>30</v>
      </c>
      <c r="H186" s="8">
        <v>70</v>
      </c>
      <c r="I186" s="8">
        <v>0</v>
      </c>
      <c r="K186" s="23">
        <v>2429.56</v>
      </c>
      <c r="L186" s="9">
        <f t="shared" si="21"/>
        <v>0.6748777777777778</v>
      </c>
      <c r="N186" s="11">
        <v>3</v>
      </c>
      <c r="O186" s="11">
        <v>15</v>
      </c>
      <c r="P186" s="9">
        <f t="shared" si="42"/>
        <v>3.25</v>
      </c>
      <c r="Q186" s="9">
        <f t="shared" si="43"/>
        <v>2.028</v>
      </c>
      <c r="R186" s="9">
        <f t="shared" si="44"/>
        <v>2.028</v>
      </c>
      <c r="S186" s="9">
        <f t="shared" si="45"/>
        <v>33.277996931843084</v>
      </c>
      <c r="T186" s="9">
        <f t="shared" si="46"/>
        <v>2.028</v>
      </c>
      <c r="U186" s="9">
        <f t="shared" si="47"/>
        <v>0.6748777777777778</v>
      </c>
      <c r="V186" s="9">
        <f t="shared" si="48"/>
        <v>1.4196</v>
      </c>
      <c r="W186" s="9">
        <f t="shared" si="49"/>
        <v>0</v>
      </c>
    </row>
    <row r="187" spans="1:27" ht="20.100000000000001" customHeight="1" x14ac:dyDescent="0.25">
      <c r="A187" s="97">
        <v>43613</v>
      </c>
      <c r="B187" s="74" t="s">
        <v>313</v>
      </c>
      <c r="C187" s="83">
        <v>0.37</v>
      </c>
      <c r="D187" s="60">
        <f>'NELIOTA (p&lt;0.5)'!E226</f>
        <v>0</v>
      </c>
      <c r="E187" s="58" t="str">
        <f>'NELIOTA (p&lt;0.5)'!F226</f>
        <v>good</v>
      </c>
      <c r="F187" s="58"/>
      <c r="G187" s="8">
        <v>100</v>
      </c>
      <c r="H187" s="8">
        <v>0</v>
      </c>
      <c r="I187" s="8">
        <v>0</v>
      </c>
      <c r="K187" s="23">
        <v>1777.8</v>
      </c>
      <c r="L187" s="9">
        <f t="shared" si="21"/>
        <v>0.49383333333333335</v>
      </c>
      <c r="N187" s="11">
        <v>0</v>
      </c>
      <c r="O187" s="11">
        <v>50</v>
      </c>
      <c r="P187" s="9">
        <f t="shared" si="42"/>
        <v>0.83333333333333337</v>
      </c>
      <c r="Q187" s="9">
        <f t="shared" si="43"/>
        <v>0.52</v>
      </c>
      <c r="R187" s="9">
        <f t="shared" si="44"/>
        <v>0.49383333333333335</v>
      </c>
      <c r="S187" s="9">
        <f t="shared" si="45"/>
        <v>94.967948717948715</v>
      </c>
      <c r="T187" s="9">
        <f t="shared" si="46"/>
        <v>0.49383333333333335</v>
      </c>
      <c r="U187" s="9">
        <f t="shared" si="47"/>
        <v>0.49383333333333335</v>
      </c>
      <c r="V187" s="9">
        <f t="shared" si="48"/>
        <v>0</v>
      </c>
      <c r="W187" s="9">
        <f t="shared" si="49"/>
        <v>0</v>
      </c>
    </row>
    <row r="188" spans="1:27" ht="20.100000000000001" customHeight="1" x14ac:dyDescent="0.25">
      <c r="A188" s="97">
        <v>43614</v>
      </c>
      <c r="B188" s="74" t="s">
        <v>73</v>
      </c>
      <c r="C188" s="83">
        <v>0.27800000000000002</v>
      </c>
      <c r="D188" s="60">
        <f>'NELIOTA (p&lt;0.5)'!E227</f>
        <v>0</v>
      </c>
      <c r="E188" s="58" t="str">
        <f>'NELIOTA (p&lt;0.5)'!F227</f>
        <v>good</v>
      </c>
      <c r="F188" s="58" t="str">
        <f>'NELIOTA (p&lt;0.5)'!G227</f>
        <v>bad seeing (&gt;3'')</v>
      </c>
      <c r="G188" s="8">
        <v>100</v>
      </c>
      <c r="H188" s="8">
        <v>0</v>
      </c>
      <c r="I188" s="8">
        <v>0</v>
      </c>
      <c r="K188" s="23">
        <v>1505</v>
      </c>
      <c r="L188" s="9">
        <f t="shared" si="21"/>
        <v>0.41805555555555557</v>
      </c>
      <c r="N188" s="11">
        <v>0</v>
      </c>
      <c r="O188" s="11">
        <v>40</v>
      </c>
      <c r="P188" s="9">
        <f t="shared" si="42"/>
        <v>0.66666666666666663</v>
      </c>
      <c r="Q188" s="9">
        <f t="shared" si="43"/>
        <v>0.41599999999999998</v>
      </c>
      <c r="R188" s="9">
        <f t="shared" si="44"/>
        <v>0.41805555555555557</v>
      </c>
      <c r="S188" s="9">
        <f t="shared" si="45"/>
        <v>100.49412393162395</v>
      </c>
      <c r="T188" s="9">
        <f t="shared" si="46"/>
        <v>0.41805555555555557</v>
      </c>
      <c r="U188" s="9">
        <f t="shared" si="47"/>
        <v>0.41805555555555557</v>
      </c>
      <c r="V188" s="9">
        <f t="shared" si="48"/>
        <v>0</v>
      </c>
      <c r="W188" s="9">
        <f t="shared" si="49"/>
        <v>0</v>
      </c>
      <c r="X188" s="9">
        <f>SUM(U183:U188)</f>
        <v>1.8939888888888889</v>
      </c>
      <c r="Y188" s="9">
        <f>100*X188/SUM(T183:T188)</f>
        <v>33.899252247235708</v>
      </c>
      <c r="Z188" s="9">
        <f>100*SUM(V183:V188)/SUM(T183:T188)</f>
        <v>67.290589451913149</v>
      </c>
      <c r="AA188" s="9">
        <f>100*SUM(W183:W188)/SUM(T183:T188)</f>
        <v>0</v>
      </c>
    </row>
    <row r="189" spans="1:27" s="48" customFormat="1" ht="20.100000000000001" customHeight="1" x14ac:dyDescent="0.25">
      <c r="A189" s="94">
        <v>43622</v>
      </c>
      <c r="B189" s="62" t="s">
        <v>314</v>
      </c>
      <c r="C189" s="78">
        <v>0.14099999999999999</v>
      </c>
      <c r="D189" s="60">
        <f>'NELIOTA (p&lt;0.5)'!E228</f>
        <v>0</v>
      </c>
      <c r="E189" s="58" t="str">
        <f>'NELIOTA (p&lt;0.5)'!F228</f>
        <v>very good</v>
      </c>
      <c r="F189" s="58"/>
      <c r="G189" s="24">
        <v>100</v>
      </c>
      <c r="H189" s="24">
        <v>0</v>
      </c>
      <c r="I189" s="24">
        <v>0</v>
      </c>
      <c r="K189" s="25">
        <v>1949.3</v>
      </c>
      <c r="L189" s="33">
        <f t="shared" si="21"/>
        <v>0.54147222222222224</v>
      </c>
      <c r="N189" s="47">
        <v>0</v>
      </c>
      <c r="O189" s="47">
        <v>52</v>
      </c>
      <c r="P189" s="33">
        <f t="shared" ref="P189:P203" si="50">N189+O189/60</f>
        <v>0.8666666666666667</v>
      </c>
      <c r="Q189" s="33">
        <f t="shared" ref="Q189:Q203" si="51">P189*62.4%</f>
        <v>0.54080000000000006</v>
      </c>
      <c r="R189" s="33">
        <f t="shared" ref="R189:R203" si="52">IF(G189=100,L189,Q189)</f>
        <v>0.54147222222222224</v>
      </c>
      <c r="S189" s="33">
        <f t="shared" ref="S189:S203" si="53">100*L189/Q189</f>
        <v>100.12430144641682</v>
      </c>
      <c r="T189" s="33">
        <f t="shared" ref="T189:T199" si="54">R189</f>
        <v>0.54147222222222224</v>
      </c>
      <c r="U189" s="33">
        <f t="shared" ref="U189:U199" si="55">L189</f>
        <v>0.54147222222222224</v>
      </c>
      <c r="V189" s="33">
        <f t="shared" ref="V189:V199" si="56">T189*H189%</f>
        <v>0</v>
      </c>
      <c r="W189" s="33">
        <f t="shared" ref="W189:W199" si="57">T189*I189%</f>
        <v>0</v>
      </c>
    </row>
    <row r="190" spans="1:27" ht="20.100000000000001" customHeight="1" x14ac:dyDescent="0.25">
      <c r="A190" s="82">
        <v>43623</v>
      </c>
      <c r="B190" s="58" t="s">
        <v>315</v>
      </c>
      <c r="C190" s="79">
        <v>0.23499999999999999</v>
      </c>
      <c r="D190" s="60">
        <f>'NELIOTA (p&lt;0.5)'!E229</f>
        <v>0</v>
      </c>
      <c r="E190" s="58" t="str">
        <f>'NELIOTA (p&lt;0.5)'!F229</f>
        <v>very good</v>
      </c>
      <c r="F190" s="58"/>
      <c r="G190" s="8">
        <v>100</v>
      </c>
      <c r="H190" s="8">
        <v>0</v>
      </c>
      <c r="I190" s="8">
        <v>0</v>
      </c>
      <c r="K190" s="23">
        <v>3600.26</v>
      </c>
      <c r="L190" s="9">
        <f t="shared" si="21"/>
        <v>1.0000722222222223</v>
      </c>
      <c r="N190" s="11">
        <v>1</v>
      </c>
      <c r="O190" s="11">
        <v>36</v>
      </c>
      <c r="P190" s="9">
        <f t="shared" si="50"/>
        <v>1.6</v>
      </c>
      <c r="Q190" s="9">
        <f t="shared" si="51"/>
        <v>0.99840000000000007</v>
      </c>
      <c r="R190" s="9">
        <f t="shared" si="52"/>
        <v>1.0000722222222223</v>
      </c>
      <c r="S190" s="9">
        <f t="shared" si="53"/>
        <v>100.1674902065527</v>
      </c>
      <c r="T190" s="9">
        <f t="shared" si="54"/>
        <v>1.0000722222222223</v>
      </c>
      <c r="U190" s="9">
        <f t="shared" si="55"/>
        <v>1.0000722222222223</v>
      </c>
      <c r="V190" s="9">
        <f t="shared" si="56"/>
        <v>0</v>
      </c>
      <c r="W190" s="9">
        <f t="shared" si="57"/>
        <v>0</v>
      </c>
    </row>
    <row r="191" spans="1:27" ht="20.100000000000001" customHeight="1" x14ac:dyDescent="0.25">
      <c r="A191" s="82">
        <v>43624</v>
      </c>
      <c r="B191" s="58" t="s">
        <v>316</v>
      </c>
      <c r="C191" s="79">
        <v>0.34300000000000003</v>
      </c>
      <c r="D191" s="60" t="str">
        <f>'NELIOTA (p&lt;0.5)'!E230</f>
        <v>2 val + 1 susp</v>
      </c>
      <c r="E191" s="58" t="str">
        <f>'NELIOTA (p&lt;0.5)'!F230</f>
        <v>very good</v>
      </c>
      <c r="F191" s="58"/>
      <c r="G191" s="8">
        <v>94</v>
      </c>
      <c r="H191" s="8">
        <v>6</v>
      </c>
      <c r="I191" s="8">
        <v>0</v>
      </c>
      <c r="K191" s="23">
        <v>4841.2</v>
      </c>
      <c r="L191" s="9">
        <f t="shared" si="21"/>
        <v>1.3447777777777776</v>
      </c>
      <c r="N191" s="11">
        <v>2</v>
      </c>
      <c r="O191" s="11">
        <v>18</v>
      </c>
      <c r="P191" s="9">
        <f t="shared" si="50"/>
        <v>2.2999999999999998</v>
      </c>
      <c r="Q191" s="9">
        <f t="shared" si="51"/>
        <v>1.4351999999999998</v>
      </c>
      <c r="R191" s="9">
        <f t="shared" si="52"/>
        <v>1.4351999999999998</v>
      </c>
      <c r="S191" s="9">
        <f t="shared" si="53"/>
        <v>93.699677938808378</v>
      </c>
      <c r="T191" s="9">
        <f t="shared" si="54"/>
        <v>1.4351999999999998</v>
      </c>
      <c r="U191" s="9">
        <f t="shared" si="55"/>
        <v>1.3447777777777776</v>
      </c>
      <c r="V191" s="9">
        <f t="shared" si="56"/>
        <v>8.611199999999998E-2</v>
      </c>
      <c r="W191" s="9">
        <f t="shared" si="57"/>
        <v>0</v>
      </c>
    </row>
    <row r="192" spans="1:27" ht="20.100000000000001" customHeight="1" x14ac:dyDescent="0.25">
      <c r="A192" s="82">
        <v>43625</v>
      </c>
      <c r="B192" s="58" t="s">
        <v>317</v>
      </c>
      <c r="C192" s="79">
        <v>0.46</v>
      </c>
      <c r="D192" s="60">
        <f>'NELIOTA (p&lt;0.5)'!E231</f>
        <v>0</v>
      </c>
      <c r="E192" s="58" t="str">
        <f>'NELIOTA (p&lt;0.5)'!F231</f>
        <v>moderate</v>
      </c>
      <c r="F192" s="58" t="str">
        <f>'NELIOTA (p&lt;0.5)'!G231</f>
        <v>test for phase 0.46 (distance 367.000 km); ~55% coverage. Cloudiness after 22:00</v>
      </c>
      <c r="G192" s="8">
        <v>28</v>
      </c>
      <c r="H192" s="8">
        <v>72</v>
      </c>
      <c r="I192" s="8">
        <v>0</v>
      </c>
      <c r="K192" s="23">
        <v>2123.8000000000002</v>
      </c>
      <c r="L192" s="9">
        <f t="shared" si="21"/>
        <v>0.58994444444444449</v>
      </c>
      <c r="N192" s="11">
        <v>3</v>
      </c>
      <c r="O192" s="11">
        <v>0</v>
      </c>
      <c r="P192" s="9">
        <f t="shared" si="50"/>
        <v>3</v>
      </c>
      <c r="Q192" s="9">
        <f t="shared" si="51"/>
        <v>1.8719999999999999</v>
      </c>
      <c r="R192" s="9">
        <f t="shared" si="52"/>
        <v>1.8719999999999999</v>
      </c>
      <c r="S192" s="9">
        <f t="shared" si="53"/>
        <v>31.514126305792974</v>
      </c>
      <c r="T192" s="9">
        <f t="shared" si="54"/>
        <v>1.8719999999999999</v>
      </c>
      <c r="U192" s="9">
        <f t="shared" si="55"/>
        <v>0.58994444444444449</v>
      </c>
      <c r="V192" s="9">
        <f t="shared" si="56"/>
        <v>1.3478399999999999</v>
      </c>
      <c r="W192" s="9">
        <f t="shared" si="57"/>
        <v>0</v>
      </c>
    </row>
    <row r="193" spans="1:27" ht="20.100000000000001" customHeight="1" x14ac:dyDescent="0.25">
      <c r="A193" s="97">
        <v>43642</v>
      </c>
      <c r="B193" s="74" t="s">
        <v>318</v>
      </c>
      <c r="C193" s="83">
        <v>0.442</v>
      </c>
      <c r="D193" s="60" t="str">
        <f>'NELIOTA (p&lt;0.5)'!E232</f>
        <v>1  suspected</v>
      </c>
      <c r="E193" s="58" t="str">
        <f>'NELIOTA (p&lt;0.5)'!F232</f>
        <v>moderate</v>
      </c>
      <c r="F193" s="58" t="str">
        <f>'NELIOTA (p&lt;0.5)'!G232</f>
        <v>test for phase 0.44 (distance 396.000 km); ~70% coverage.</v>
      </c>
      <c r="G193" s="8">
        <v>100</v>
      </c>
      <c r="H193" s="8">
        <v>0</v>
      </c>
      <c r="I193" s="8">
        <v>0</v>
      </c>
      <c r="K193" s="23">
        <v>4182.8</v>
      </c>
      <c r="L193" s="9">
        <f t="shared" si="21"/>
        <v>1.161888888888889</v>
      </c>
      <c r="N193" s="11">
        <v>1</v>
      </c>
      <c r="O193" s="11">
        <v>51</v>
      </c>
      <c r="P193" s="9">
        <f t="shared" si="50"/>
        <v>1.85</v>
      </c>
      <c r="Q193" s="9">
        <f t="shared" si="51"/>
        <v>1.1544000000000001</v>
      </c>
      <c r="R193" s="9">
        <f t="shared" si="52"/>
        <v>1.161888888888889</v>
      </c>
      <c r="S193" s="9">
        <f t="shared" si="53"/>
        <v>100.64872564872564</v>
      </c>
      <c r="T193" s="9">
        <f t="shared" si="54"/>
        <v>1.161888888888889</v>
      </c>
      <c r="U193" s="9">
        <f t="shared" si="55"/>
        <v>1.161888888888889</v>
      </c>
      <c r="V193" s="9">
        <f t="shared" si="56"/>
        <v>0</v>
      </c>
      <c r="W193" s="9">
        <f t="shared" si="57"/>
        <v>0</v>
      </c>
    </row>
    <row r="194" spans="1:27" ht="20.100000000000001" customHeight="1" x14ac:dyDescent="0.25">
      <c r="A194" s="97">
        <v>43643</v>
      </c>
      <c r="B194" s="74" t="s">
        <v>319</v>
      </c>
      <c r="C194" s="83">
        <v>0.34399999999999997</v>
      </c>
      <c r="D194" s="60">
        <f>'NELIOTA (p&lt;0.5)'!E233</f>
        <v>0</v>
      </c>
      <c r="E194" s="58" t="str">
        <f>'NELIOTA (p&lt;0.5)'!F233</f>
        <v>good</v>
      </c>
      <c r="F194" s="58"/>
      <c r="G194" s="8">
        <v>100</v>
      </c>
      <c r="H194" s="8">
        <v>0</v>
      </c>
      <c r="I194" s="8">
        <v>0</v>
      </c>
      <c r="K194" s="23">
        <v>3128.5</v>
      </c>
      <c r="L194" s="9">
        <f t="shared" si="21"/>
        <v>0.86902777777777773</v>
      </c>
      <c r="N194" s="11">
        <v>1</v>
      </c>
      <c r="O194" s="11">
        <v>23</v>
      </c>
      <c r="P194" s="9">
        <f t="shared" si="50"/>
        <v>1.3833333333333333</v>
      </c>
      <c r="Q194" s="9">
        <f t="shared" si="51"/>
        <v>0.86319999999999997</v>
      </c>
      <c r="R194" s="9">
        <f t="shared" si="52"/>
        <v>0.86902777777777773</v>
      </c>
      <c r="S194" s="9">
        <f t="shared" si="53"/>
        <v>100.67513644320873</v>
      </c>
      <c r="T194" s="9">
        <f t="shared" si="54"/>
        <v>0.86902777777777773</v>
      </c>
      <c r="U194" s="9">
        <f t="shared" si="55"/>
        <v>0.86902777777777773</v>
      </c>
      <c r="V194" s="9">
        <f t="shared" si="56"/>
        <v>0</v>
      </c>
      <c r="W194" s="9">
        <f t="shared" si="57"/>
        <v>0</v>
      </c>
    </row>
    <row r="195" spans="1:27" ht="20.100000000000001" customHeight="1" x14ac:dyDescent="0.25">
      <c r="A195" s="97">
        <v>43644</v>
      </c>
      <c r="B195" s="74" t="s">
        <v>320</v>
      </c>
      <c r="C195" s="83">
        <v>0.25</v>
      </c>
      <c r="D195" s="60" t="str">
        <f>'NELIOTA (p&lt;0.5)'!E234</f>
        <v>2 validated</v>
      </c>
      <c r="E195" s="58" t="str">
        <f>'NELIOTA (p&lt;0.5)'!F234</f>
        <v>very good</v>
      </c>
      <c r="F195" s="58"/>
      <c r="G195" s="8">
        <v>100</v>
      </c>
      <c r="H195" s="8">
        <v>0</v>
      </c>
      <c r="I195" s="8">
        <v>0</v>
      </c>
      <c r="K195" s="23">
        <v>1912.8</v>
      </c>
      <c r="L195" s="9">
        <f t="shared" si="21"/>
        <v>0.53133333333333332</v>
      </c>
      <c r="N195" s="11">
        <v>0</v>
      </c>
      <c r="O195" s="11">
        <v>51</v>
      </c>
      <c r="P195" s="9">
        <f t="shared" si="50"/>
        <v>0.85</v>
      </c>
      <c r="Q195" s="9">
        <f t="shared" si="51"/>
        <v>0.53039999999999998</v>
      </c>
      <c r="R195" s="9">
        <f t="shared" si="52"/>
        <v>0.53133333333333332</v>
      </c>
      <c r="S195" s="9">
        <f t="shared" si="53"/>
        <v>100.17596782302665</v>
      </c>
      <c r="T195" s="9">
        <f t="shared" si="54"/>
        <v>0.53133333333333332</v>
      </c>
      <c r="U195" s="9">
        <f t="shared" si="55"/>
        <v>0.53133333333333332</v>
      </c>
      <c r="V195" s="9">
        <f t="shared" si="56"/>
        <v>0</v>
      </c>
      <c r="W195" s="9">
        <f t="shared" si="57"/>
        <v>0</v>
      </c>
    </row>
    <row r="196" spans="1:27" ht="20.100000000000001" customHeight="1" x14ac:dyDescent="0.25">
      <c r="A196" s="97">
        <v>43645</v>
      </c>
      <c r="B196" s="74" t="s">
        <v>321</v>
      </c>
      <c r="C196" s="83">
        <v>0.16400000000000001</v>
      </c>
      <c r="D196" s="60">
        <f>'NELIOTA (p&lt;0.5)'!E235</f>
        <v>0</v>
      </c>
      <c r="E196" s="58" t="str">
        <f>'NELIOTA (p&lt;0.5)'!F235</f>
        <v>moderate/bad</v>
      </c>
      <c r="F196" s="58" t="str">
        <f>'NELIOTA (p&lt;0.5)'!G235</f>
        <v>sporadic clouds</v>
      </c>
      <c r="G196" s="8">
        <v>8</v>
      </c>
      <c r="H196" s="8">
        <v>92</v>
      </c>
      <c r="I196" s="8">
        <v>0</v>
      </c>
      <c r="K196" s="23">
        <v>105</v>
      </c>
      <c r="L196" s="9">
        <f t="shared" ref="L196:L203" si="58">K196/3600</f>
        <v>2.9166666666666667E-2</v>
      </c>
      <c r="N196" s="11">
        <v>0</v>
      </c>
      <c r="O196" s="11">
        <v>30</v>
      </c>
      <c r="P196" s="9">
        <f t="shared" si="50"/>
        <v>0.5</v>
      </c>
      <c r="Q196" s="9">
        <f t="shared" si="51"/>
        <v>0.312</v>
      </c>
      <c r="R196" s="9">
        <f t="shared" si="52"/>
        <v>0.312</v>
      </c>
      <c r="S196" s="9">
        <f t="shared" si="53"/>
        <v>9.3482905982905979</v>
      </c>
      <c r="T196" s="9">
        <f t="shared" si="54"/>
        <v>0.312</v>
      </c>
      <c r="U196" s="9">
        <f t="shared" si="55"/>
        <v>2.9166666666666667E-2</v>
      </c>
      <c r="V196" s="9">
        <f t="shared" si="56"/>
        <v>0.28704000000000002</v>
      </c>
      <c r="W196" s="9">
        <f t="shared" si="57"/>
        <v>0</v>
      </c>
      <c r="X196" s="9">
        <f>SUM(U189:U196)</f>
        <v>6.0676833333333322</v>
      </c>
      <c r="Y196" s="9">
        <f>100*X196/SUM(T189:T196)</f>
        <v>78.5664599007725</v>
      </c>
      <c r="Z196" s="9">
        <f>100*SUM(V189:V196)/SUM(T189:T196)</f>
        <v>22.283998938235673</v>
      </c>
      <c r="AA196" s="9">
        <f>100*SUM(W189:W196)/SUM(T189:T196)</f>
        <v>0</v>
      </c>
    </row>
    <row r="197" spans="1:27" s="48" customFormat="1" ht="20.100000000000001" customHeight="1" x14ac:dyDescent="0.25">
      <c r="A197" s="94">
        <v>43652</v>
      </c>
      <c r="B197" s="62" t="s">
        <v>322</v>
      </c>
      <c r="C197" s="78">
        <v>0.21199999999999999</v>
      </c>
      <c r="D197" s="60" t="str">
        <f>'NELIOTA (p&lt;0.5)'!E236</f>
        <v>1 validated</v>
      </c>
      <c r="E197" s="58" t="str">
        <f>'NELIOTA (p&lt;0.5)'!F236</f>
        <v>very good</v>
      </c>
      <c r="F197" s="58"/>
      <c r="G197" s="24">
        <v>100</v>
      </c>
      <c r="H197" s="24">
        <v>0</v>
      </c>
      <c r="I197" s="24">
        <v>0</v>
      </c>
      <c r="K197" s="25">
        <v>2307</v>
      </c>
      <c r="L197" s="92">
        <f t="shared" si="58"/>
        <v>0.64083333333333337</v>
      </c>
      <c r="N197" s="47">
        <v>1</v>
      </c>
      <c r="O197" s="47">
        <v>1.6</v>
      </c>
      <c r="P197" s="33">
        <f t="shared" si="50"/>
        <v>1.0266666666666666</v>
      </c>
      <c r="Q197" s="92">
        <f t="shared" si="51"/>
        <v>0.64063999999999999</v>
      </c>
      <c r="R197" s="33">
        <f t="shared" si="52"/>
        <v>0.64083333333333337</v>
      </c>
      <c r="S197" s="33">
        <f t="shared" si="53"/>
        <v>100.03017815517818</v>
      </c>
      <c r="T197" s="33">
        <f t="shared" si="54"/>
        <v>0.64083333333333337</v>
      </c>
      <c r="U197" s="33">
        <f t="shared" si="55"/>
        <v>0.64083333333333337</v>
      </c>
      <c r="V197" s="33">
        <f t="shared" si="56"/>
        <v>0</v>
      </c>
      <c r="W197" s="33">
        <f t="shared" si="57"/>
        <v>0</v>
      </c>
    </row>
    <row r="198" spans="1:27" ht="20.100000000000001" customHeight="1" x14ac:dyDescent="0.25">
      <c r="A198" s="82">
        <v>43653</v>
      </c>
      <c r="B198" s="58" t="s">
        <v>323</v>
      </c>
      <c r="C198" s="79">
        <v>0.318</v>
      </c>
      <c r="D198" s="60" t="str">
        <f>'NELIOTA (p&lt;0.5)'!E237</f>
        <v>3 validated</v>
      </c>
      <c r="E198" s="58" t="str">
        <f>'NELIOTA (p&lt;0.5)'!F237</f>
        <v>excellent</v>
      </c>
      <c r="F198" s="58"/>
      <c r="G198" s="8">
        <v>100</v>
      </c>
      <c r="H198" s="8">
        <v>0</v>
      </c>
      <c r="I198" s="8">
        <v>0</v>
      </c>
      <c r="K198" s="23">
        <v>3814.9</v>
      </c>
      <c r="L198" s="93">
        <f t="shared" si="58"/>
        <v>1.0596944444444445</v>
      </c>
      <c r="N198" s="11">
        <v>1</v>
      </c>
      <c r="O198" s="11">
        <v>41.9</v>
      </c>
      <c r="P198" s="9">
        <f t="shared" si="50"/>
        <v>1.6983333333333333</v>
      </c>
      <c r="Q198" s="93">
        <f t="shared" si="51"/>
        <v>1.05976</v>
      </c>
      <c r="R198" s="9">
        <f t="shared" si="52"/>
        <v>1.0596944444444445</v>
      </c>
      <c r="S198" s="9">
        <f t="shared" si="53"/>
        <v>99.993814113048657</v>
      </c>
      <c r="T198" s="9">
        <f t="shared" si="54"/>
        <v>1.0596944444444445</v>
      </c>
      <c r="U198" s="9">
        <f t="shared" si="55"/>
        <v>1.0596944444444445</v>
      </c>
      <c r="V198" s="9">
        <f t="shared" si="56"/>
        <v>0</v>
      </c>
      <c r="W198" s="9">
        <f t="shared" si="57"/>
        <v>0</v>
      </c>
    </row>
    <row r="199" spans="1:27" ht="20.100000000000001" customHeight="1" x14ac:dyDescent="0.25">
      <c r="A199" s="82">
        <v>43654</v>
      </c>
      <c r="B199" s="58" t="s">
        <v>156</v>
      </c>
      <c r="C199" s="79">
        <v>0.433</v>
      </c>
      <c r="D199" s="60" t="str">
        <f>'NELIOTA (p&lt;0.5)'!E238</f>
        <v>1 val + 1 susp</v>
      </c>
      <c r="E199" s="58" t="str">
        <f>'NELIOTA (p&lt;0.5)'!F238</f>
        <v>very good</v>
      </c>
      <c r="F199" s="58" t="str">
        <f>'NELIOTA (p&lt;0.5)'!G238</f>
        <v>test for phase 0.43 (distance 371.000 km); ~82% coverage.</v>
      </c>
      <c r="G199" s="8">
        <v>100</v>
      </c>
      <c r="H199" s="8">
        <v>0</v>
      </c>
      <c r="I199" s="8">
        <v>0</v>
      </c>
      <c r="K199" s="98">
        <v>5086.3</v>
      </c>
      <c r="L199" s="93">
        <f t="shared" si="58"/>
        <v>1.4128611111111111</v>
      </c>
      <c r="N199" s="11">
        <v>2</v>
      </c>
      <c r="O199" s="11">
        <v>15.85</v>
      </c>
      <c r="P199" s="9">
        <f t="shared" si="50"/>
        <v>2.2641666666666667</v>
      </c>
      <c r="Q199" s="93">
        <f t="shared" si="51"/>
        <v>1.4128400000000001</v>
      </c>
      <c r="R199" s="9">
        <f t="shared" si="52"/>
        <v>1.4128611111111111</v>
      </c>
      <c r="S199" s="9">
        <f t="shared" si="53"/>
        <v>100.00149423226347</v>
      </c>
      <c r="T199" s="9">
        <f t="shared" si="54"/>
        <v>1.4128611111111111</v>
      </c>
      <c r="U199" s="9">
        <f t="shared" si="55"/>
        <v>1.4128611111111111</v>
      </c>
      <c r="V199" s="9">
        <f t="shared" si="56"/>
        <v>0</v>
      </c>
      <c r="W199" s="9">
        <f t="shared" si="57"/>
        <v>0</v>
      </c>
    </row>
    <row r="200" spans="1:27" ht="20.100000000000001" customHeight="1" x14ac:dyDescent="0.25">
      <c r="A200" s="97">
        <f>'NELIOTA (p&lt;0.5)'!A240</f>
        <v>43672</v>
      </c>
      <c r="B200" s="74" t="str">
        <f>'NELIOTA (p&lt;0.5)'!B240</f>
        <v>03:15-06:05</v>
      </c>
      <c r="C200" s="99">
        <f>'NELIOTA (p&lt;0.5)'!C240</f>
        <v>0.40799999999999997</v>
      </c>
      <c r="D200" s="118" t="str">
        <f>'NELIOTA (p&lt;0.5)'!E240</f>
        <v>2 validated</v>
      </c>
      <c r="E200" s="74" t="str">
        <f>'NELIOTA (p&lt;0.5)'!F240</f>
        <v>very good</v>
      </c>
      <c r="F200" s="74" t="str">
        <f>'NELIOTA (p&lt;0.5)'!G240</f>
        <v>~84% coverage (distance 389000 km), 3 days before SDA max</v>
      </c>
      <c r="G200" s="8">
        <f>'NELIOTA (p&lt;0.5)'!H240</f>
        <v>100</v>
      </c>
      <c r="H200" s="8">
        <f>'NELIOTA (p&lt;0.5)'!I240</f>
        <v>0</v>
      </c>
      <c r="I200" s="8">
        <f>'NELIOTA (p&lt;0.5)'!J240</f>
        <v>0</v>
      </c>
      <c r="K200" s="98">
        <f>'NELIOTA (p&lt;0.5)'!M240</f>
        <v>6159.6</v>
      </c>
      <c r="L200" s="93">
        <f t="shared" si="58"/>
        <v>1.7110000000000001</v>
      </c>
      <c r="N200" s="11">
        <v>2</v>
      </c>
      <c r="O200" s="11">
        <v>44.5</v>
      </c>
      <c r="P200" s="9">
        <f t="shared" si="50"/>
        <v>2.7416666666666667</v>
      </c>
      <c r="Q200" s="93">
        <f t="shared" si="51"/>
        <v>1.7108000000000001</v>
      </c>
      <c r="R200" s="9">
        <f t="shared" si="52"/>
        <v>1.7110000000000001</v>
      </c>
      <c r="S200" s="9">
        <f t="shared" si="53"/>
        <v>100.01169043722234</v>
      </c>
      <c r="T200" s="9">
        <f t="shared" ref="T200:T203" si="59">R200</f>
        <v>1.7110000000000001</v>
      </c>
      <c r="U200" s="9">
        <f t="shared" ref="U200:U203" si="60">L200</f>
        <v>1.7110000000000001</v>
      </c>
      <c r="V200" s="9">
        <f t="shared" ref="V200:V203" si="61">T200*H200%</f>
        <v>0</v>
      </c>
      <c r="W200" s="9">
        <f t="shared" ref="W200:W203" si="62">T200*I200%</f>
        <v>0</v>
      </c>
    </row>
    <row r="201" spans="1:27" ht="20.100000000000001" customHeight="1" x14ac:dyDescent="0.25">
      <c r="A201" s="97">
        <f>'NELIOTA (p&lt;0.5)'!A241</f>
        <v>43673</v>
      </c>
      <c r="B201" s="74" t="str">
        <f>'NELIOTA (p&lt;0.5)'!B241</f>
        <v>03:55-06:05</v>
      </c>
      <c r="C201" s="99">
        <f>'NELIOTA (p&lt;0.5)'!C241</f>
        <v>0.30599999999999999</v>
      </c>
      <c r="D201" s="118" t="str">
        <f>'NELIOTA (p&lt;0.5)'!E241</f>
        <v>6 validated</v>
      </c>
      <c r="E201" s="74" t="str">
        <f>'NELIOTA (p&lt;0.5)'!F241</f>
        <v>excellent</v>
      </c>
      <c r="F201" s="74" t="str">
        <f>'NELIOTA (p&lt;0.5)'!G241</f>
        <v>2 days before SDA max</v>
      </c>
      <c r="G201" s="8">
        <f>'NELIOTA (p&lt;0.5)'!H241</f>
        <v>100</v>
      </c>
      <c r="H201" s="8">
        <f>'NELIOTA (p&lt;0.5)'!I241</f>
        <v>0</v>
      </c>
      <c r="I201" s="8">
        <f>'NELIOTA (p&lt;0.5)'!J241</f>
        <v>0</v>
      </c>
      <c r="K201" s="98">
        <f>'NELIOTA (p&lt;0.5)'!M241</f>
        <v>4746.6000000000004</v>
      </c>
      <c r="L201" s="93">
        <f t="shared" si="58"/>
        <v>1.3185</v>
      </c>
      <c r="N201" s="11">
        <v>2</v>
      </c>
      <c r="O201" s="11">
        <v>6.75</v>
      </c>
      <c r="P201" s="9">
        <f t="shared" si="50"/>
        <v>2.1124999999999998</v>
      </c>
      <c r="Q201" s="93">
        <f t="shared" si="51"/>
        <v>1.3181999999999998</v>
      </c>
      <c r="R201" s="9">
        <f t="shared" si="52"/>
        <v>1.3185</v>
      </c>
      <c r="S201" s="9">
        <f t="shared" si="53"/>
        <v>100.02275830678198</v>
      </c>
      <c r="T201" s="9">
        <f t="shared" si="59"/>
        <v>1.3185</v>
      </c>
      <c r="U201" s="9">
        <f t="shared" si="60"/>
        <v>1.3185</v>
      </c>
      <c r="V201" s="9">
        <f t="shared" si="61"/>
        <v>0</v>
      </c>
      <c r="W201" s="9">
        <f t="shared" si="62"/>
        <v>0</v>
      </c>
    </row>
    <row r="202" spans="1:27" ht="20.100000000000001" customHeight="1" x14ac:dyDescent="0.25">
      <c r="A202" s="97">
        <f>'NELIOTA (p&lt;0.5)'!A242</f>
        <v>43674</v>
      </c>
      <c r="B202" s="74" t="str">
        <f>'NELIOTA (p&lt;0.5)'!B242</f>
        <v>04:35-06:05</v>
      </c>
      <c r="C202" s="99">
        <f>'NELIOTA (p&lt;0.5)'!C242</f>
        <v>0.21</v>
      </c>
      <c r="D202" s="118" t="str">
        <f>'NELIOTA (p&lt;0.5)'!E242</f>
        <v>4 validated</v>
      </c>
      <c r="E202" s="74" t="str">
        <f>'NELIOTA (p&lt;0.5)'!F242</f>
        <v>excellent</v>
      </c>
      <c r="F202" s="74" t="str">
        <f>'NELIOTA (p&lt;0.5)'!G242</f>
        <v>1 day before SDA max</v>
      </c>
      <c r="G202" s="8">
        <f>'NELIOTA (p&lt;0.5)'!H242</f>
        <v>100</v>
      </c>
      <c r="H202" s="8">
        <f>'NELIOTA (p&lt;0.5)'!I242</f>
        <v>0</v>
      </c>
      <c r="I202" s="8">
        <f>'NELIOTA (p&lt;0.5)'!J242</f>
        <v>0</v>
      </c>
      <c r="K202" s="98">
        <f>'NELIOTA (p&lt;0.5)'!M242</f>
        <v>3290.5</v>
      </c>
      <c r="L202" s="93">
        <f t="shared" si="58"/>
        <v>0.91402777777777777</v>
      </c>
      <c r="N202" s="11">
        <v>1</v>
      </c>
      <c r="O202" s="11">
        <v>27.9</v>
      </c>
      <c r="P202" s="9">
        <f t="shared" si="50"/>
        <v>1.4649999999999999</v>
      </c>
      <c r="Q202" s="93">
        <f t="shared" si="51"/>
        <v>0.91415999999999986</v>
      </c>
      <c r="R202" s="9">
        <f t="shared" si="52"/>
        <v>0.91402777777777777</v>
      </c>
      <c r="S202" s="9">
        <f t="shared" si="53"/>
        <v>99.98553620567273</v>
      </c>
      <c r="T202" s="9">
        <f t="shared" si="59"/>
        <v>0.91402777777777777</v>
      </c>
      <c r="U202" s="9">
        <f t="shared" si="60"/>
        <v>0.91402777777777777</v>
      </c>
      <c r="V202" s="9">
        <f t="shared" si="61"/>
        <v>0</v>
      </c>
      <c r="W202" s="9">
        <f t="shared" si="62"/>
        <v>0</v>
      </c>
    </row>
    <row r="203" spans="1:27" ht="20.100000000000001" customHeight="1" x14ac:dyDescent="0.25">
      <c r="A203" s="97">
        <f>'NELIOTA (p&lt;0.5)'!A243</f>
        <v>43675</v>
      </c>
      <c r="B203" s="74" t="str">
        <f>'NELIOTA (p&lt;0.5)'!B243</f>
        <v>05:20-06:05</v>
      </c>
      <c r="C203" s="99">
        <f>'NELIOTA (p&lt;0.5)'!C243</f>
        <v>0.124</v>
      </c>
      <c r="D203" s="118">
        <f>'NELIOTA (p&lt;0.5)'!E243</f>
        <v>0</v>
      </c>
      <c r="E203" s="74" t="str">
        <f>'NELIOTA (p&lt;0.5)'!F243</f>
        <v>good</v>
      </c>
      <c r="F203" s="74" t="str">
        <f>'NELIOTA (p&lt;0.5)'!G243</f>
        <v>very bad seeing &gt;4.5''</v>
      </c>
      <c r="G203" s="8">
        <f>'NELIOTA (p&lt;0.5)'!H243</f>
        <v>100</v>
      </c>
      <c r="H203" s="8">
        <f>'NELIOTA (p&lt;0.5)'!I243</f>
        <v>0</v>
      </c>
      <c r="I203" s="8">
        <f>'NELIOTA (p&lt;0.5)'!J243</f>
        <v>0</v>
      </c>
      <c r="K203" s="98">
        <f>'NELIOTA (p&lt;0.5)'!M243</f>
        <v>1613</v>
      </c>
      <c r="L203" s="93">
        <f t="shared" si="58"/>
        <v>0.44805555555555554</v>
      </c>
      <c r="N203" s="11">
        <v>0</v>
      </c>
      <c r="O203" s="11">
        <v>43.05</v>
      </c>
      <c r="P203" s="9">
        <f t="shared" si="50"/>
        <v>0.71749999999999992</v>
      </c>
      <c r="Q203" s="93">
        <f t="shared" si="51"/>
        <v>0.44771999999999995</v>
      </c>
      <c r="R203" s="9">
        <f t="shared" si="52"/>
        <v>0.44805555555555554</v>
      </c>
      <c r="S203" s="9">
        <f t="shared" si="53"/>
        <v>100.07494763592327</v>
      </c>
      <c r="T203" s="9">
        <f t="shared" si="59"/>
        <v>0.44805555555555554</v>
      </c>
      <c r="U203" s="9">
        <f t="shared" si="60"/>
        <v>0.44805555555555554</v>
      </c>
      <c r="V203" s="9">
        <f t="shared" si="61"/>
        <v>0</v>
      </c>
      <c r="W203" s="9">
        <f t="shared" si="62"/>
        <v>0</v>
      </c>
      <c r="X203" s="9">
        <f>SUM(U197:U203)</f>
        <v>7.5049722222222233</v>
      </c>
      <c r="Y203" s="9">
        <f>100*X203/SUM(T197:T203)</f>
        <v>100</v>
      </c>
      <c r="Z203" s="9">
        <f>100*SUM(V197:V203)/SUM(T197:T203)</f>
        <v>0</v>
      </c>
      <c r="AA203" s="9">
        <f>100*SUM(W197:W203)/SUM(T197:T203)</f>
        <v>0</v>
      </c>
    </row>
    <row r="204" spans="1:27" s="48" customFormat="1" ht="20.100000000000001" customHeight="1" x14ac:dyDescent="0.25">
      <c r="A204" s="94">
        <f>'NELIOTA (p&lt;0.5)'!A244</f>
        <v>43681</v>
      </c>
      <c r="B204" s="62" t="str">
        <f>'NELIOTA (p&lt;0.5)'!B244</f>
        <v>20:55-21:20</v>
      </c>
      <c r="C204" s="100">
        <f>'NELIOTA (p&lt;0.5)'!C244</f>
        <v>0.185</v>
      </c>
      <c r="D204" s="64">
        <f>'NELIOTA (p&lt;0.5)'!E244</f>
        <v>0</v>
      </c>
      <c r="E204" s="62" t="str">
        <f>'NELIOTA (p&lt;0.5)'!F244</f>
        <v>Cloudiness</v>
      </c>
      <c r="F204" s="62"/>
      <c r="G204" s="24">
        <f>'NELIOTA (p&lt;0.5)'!H244</f>
        <v>0</v>
      </c>
      <c r="H204" s="24">
        <f>'NELIOTA (p&lt;0.5)'!I244</f>
        <v>100</v>
      </c>
      <c r="I204" s="24">
        <f>'NELIOTA (p&lt;0.5)'!J244</f>
        <v>0</v>
      </c>
      <c r="K204" s="101">
        <f>'NELIOTA (p&lt;0.5)'!M244</f>
        <v>0</v>
      </c>
      <c r="L204" s="92">
        <f t="shared" ref="L204:L216" si="63">K204/3600</f>
        <v>0</v>
      </c>
      <c r="N204" s="47">
        <v>0</v>
      </c>
      <c r="O204" s="47">
        <v>25</v>
      </c>
      <c r="P204" s="33">
        <f t="shared" ref="P204:P254" si="64">N204+O204/60</f>
        <v>0.41666666666666669</v>
      </c>
      <c r="Q204" s="92">
        <f t="shared" ref="Q204:Q254" si="65">P204*62.4%</f>
        <v>0.26</v>
      </c>
      <c r="R204" s="33">
        <f t="shared" ref="R204:R216" si="66">IF(G204=100,L204,Q204)</f>
        <v>0.26</v>
      </c>
      <c r="S204" s="33">
        <f t="shared" ref="S204:S216" si="67">100*L204/Q204</f>
        <v>0</v>
      </c>
      <c r="T204" s="33">
        <f t="shared" ref="T204:T216" si="68">R204</f>
        <v>0.26</v>
      </c>
      <c r="U204" s="33">
        <f t="shared" ref="U204:U216" si="69">L204</f>
        <v>0</v>
      </c>
      <c r="V204" s="33">
        <f t="shared" ref="V204:V216" si="70">T204*H204%</f>
        <v>0.26</v>
      </c>
      <c r="W204" s="33">
        <f t="shared" ref="W204:W216" si="71">T204*I204%</f>
        <v>0</v>
      </c>
    </row>
    <row r="205" spans="1:27" ht="20.100000000000001" customHeight="1" x14ac:dyDescent="0.25">
      <c r="A205" s="82">
        <f>'NELIOTA (p&lt;0.5)'!A245</f>
        <v>43682</v>
      </c>
      <c r="B205" s="58" t="str">
        <f>'NELIOTA (p&lt;0.5)'!B245</f>
        <v>20:55-21:50</v>
      </c>
      <c r="C205" s="102">
        <f>'NELIOTA (p&lt;0.5)'!C245</f>
        <v>0.28799999999999998</v>
      </c>
      <c r="D205" s="60">
        <f>'NELIOTA (p&lt;0.5)'!E245</f>
        <v>0</v>
      </c>
      <c r="E205" s="58" t="str">
        <f>'NELIOTA (p&lt;0.5)'!F245</f>
        <v>moderate</v>
      </c>
      <c r="F205" s="58" t="str">
        <f>'NELIOTA (p&lt;0.5)'!G245</f>
        <v>sporadic clouds</v>
      </c>
      <c r="G205" s="8">
        <f>'NELIOTA (p&lt;0.5)'!H245</f>
        <v>40</v>
      </c>
      <c r="H205" s="8">
        <f>'NELIOTA (p&lt;0.5)'!I245</f>
        <v>60</v>
      </c>
      <c r="I205" s="8">
        <f>'NELIOTA (p&lt;0.5)'!J245</f>
        <v>0</v>
      </c>
      <c r="K205" s="98">
        <f>'NELIOTA (p&lt;0.5)'!M245</f>
        <v>940</v>
      </c>
      <c r="L205" s="93">
        <f t="shared" si="63"/>
        <v>0.26111111111111113</v>
      </c>
      <c r="N205" s="11">
        <v>0</v>
      </c>
      <c r="O205" s="11">
        <v>55</v>
      </c>
      <c r="P205" s="9">
        <f t="shared" si="64"/>
        <v>0.91666666666666663</v>
      </c>
      <c r="Q205" s="93">
        <f t="shared" si="65"/>
        <v>0.57199999999999995</v>
      </c>
      <c r="R205" s="9">
        <f t="shared" si="66"/>
        <v>0.57199999999999995</v>
      </c>
      <c r="S205" s="9">
        <f t="shared" si="67"/>
        <v>45.648795648795655</v>
      </c>
      <c r="T205" s="9">
        <f t="shared" si="68"/>
        <v>0.57199999999999995</v>
      </c>
      <c r="U205" s="9">
        <f t="shared" si="69"/>
        <v>0.26111111111111113</v>
      </c>
      <c r="V205" s="9">
        <f t="shared" si="70"/>
        <v>0.34319999999999995</v>
      </c>
      <c r="W205" s="9">
        <f t="shared" si="71"/>
        <v>0</v>
      </c>
    </row>
    <row r="206" spans="1:27" ht="20.100000000000001" customHeight="1" x14ac:dyDescent="0.25">
      <c r="A206" s="82">
        <f>'NELIOTA (p&lt;0.5)'!A246</f>
        <v>43683</v>
      </c>
      <c r="B206" s="58" t="str">
        <f>'NELIOTA (p&lt;0.5)'!B246</f>
        <v>20:55-22:20</v>
      </c>
      <c r="C206" s="102">
        <f>'NELIOTA (p&lt;0.5)'!C246</f>
        <v>0.39900000000000002</v>
      </c>
      <c r="D206" s="60" t="str">
        <f>'NELIOTA (p&lt;0.5)'!E246</f>
        <v>3 val + 2 susp</v>
      </c>
      <c r="E206" s="58" t="str">
        <f>'NELIOTA (p&lt;0.5)'!F246</f>
        <v>good</v>
      </c>
      <c r="F206" s="58" t="str">
        <f>'NELIOTA (p&lt;0.5)'!G246</f>
        <v>5 days before perseids maximum; dis=370000 km, coverage ~84%</v>
      </c>
      <c r="G206" s="8">
        <f>'NELIOTA (p&lt;0.5)'!H246</f>
        <v>100</v>
      </c>
      <c r="H206" s="8">
        <f>'NELIOTA (p&lt;0.5)'!I246</f>
        <v>0</v>
      </c>
      <c r="I206" s="8">
        <f>'NELIOTA (p&lt;0.5)'!J246</f>
        <v>0</v>
      </c>
      <c r="K206" s="98">
        <f>'NELIOTA (p&lt;0.5)'!M246</f>
        <v>3291.3</v>
      </c>
      <c r="L206" s="93">
        <f t="shared" si="63"/>
        <v>0.91425000000000001</v>
      </c>
      <c r="N206" s="11">
        <v>1</v>
      </c>
      <c r="O206" s="11">
        <v>27.9</v>
      </c>
      <c r="P206" s="9">
        <f t="shared" si="64"/>
        <v>1.4649999999999999</v>
      </c>
      <c r="Q206" s="93">
        <f t="shared" si="65"/>
        <v>0.91415999999999986</v>
      </c>
      <c r="R206" s="9">
        <f t="shared" si="66"/>
        <v>0.91425000000000001</v>
      </c>
      <c r="S206" s="9">
        <f t="shared" si="67"/>
        <v>100.00984510370176</v>
      </c>
      <c r="T206" s="9">
        <f t="shared" si="68"/>
        <v>0.91425000000000001</v>
      </c>
      <c r="U206" s="9">
        <f t="shared" si="69"/>
        <v>0.91425000000000001</v>
      </c>
      <c r="V206" s="9">
        <f t="shared" si="70"/>
        <v>0</v>
      </c>
      <c r="W206" s="9">
        <f t="shared" si="71"/>
        <v>0</v>
      </c>
    </row>
    <row r="207" spans="1:27" ht="20.100000000000001" customHeight="1" x14ac:dyDescent="0.25">
      <c r="A207" s="97">
        <f>'NELIOTA (p&lt;0.5)'!A247</f>
        <v>43702</v>
      </c>
      <c r="B207" s="74" t="str">
        <f>'NELIOTA (p&lt;0.5)'!B247</f>
        <v>03:10-06:30</v>
      </c>
      <c r="C207" s="99">
        <f>'NELIOTA (p&lt;0.5)'!C247</f>
        <v>0.36</v>
      </c>
      <c r="D207" s="118">
        <f>'NELIOTA (p&lt;0.5)'!E247</f>
        <v>0</v>
      </c>
      <c r="E207" s="74" t="str">
        <f>'NELIOTA (p&lt;0.5)'!F247</f>
        <v>good</v>
      </c>
      <c r="F207" s="74"/>
      <c r="G207" s="8">
        <f>'NELIOTA (p&lt;0.5)'!H247</f>
        <v>100</v>
      </c>
      <c r="H207" s="8">
        <f>'NELIOTA (p&lt;0.5)'!I247</f>
        <v>0</v>
      </c>
      <c r="I207" s="8">
        <f>'NELIOTA (p&lt;0.5)'!J247</f>
        <v>0</v>
      </c>
      <c r="K207" s="98">
        <f>'NELIOTA (p&lt;0.5)'!M247</f>
        <v>7257.5</v>
      </c>
      <c r="L207" s="93">
        <f t="shared" si="63"/>
        <v>2.0159722222222221</v>
      </c>
      <c r="N207" s="11">
        <v>3</v>
      </c>
      <c r="O207" s="11">
        <v>13.8</v>
      </c>
      <c r="P207" s="9">
        <f t="shared" si="64"/>
        <v>3.23</v>
      </c>
      <c r="Q207" s="93">
        <f t="shared" si="65"/>
        <v>2.01552</v>
      </c>
      <c r="R207" s="9">
        <f t="shared" si="66"/>
        <v>2.0159722222222221</v>
      </c>
      <c r="S207" s="9">
        <f t="shared" si="67"/>
        <v>100.02243699999117</v>
      </c>
      <c r="T207" s="9">
        <f t="shared" si="68"/>
        <v>2.0159722222222221</v>
      </c>
      <c r="U207" s="9">
        <f t="shared" si="69"/>
        <v>2.0159722222222221</v>
      </c>
      <c r="V207" s="9">
        <f t="shared" si="70"/>
        <v>0</v>
      </c>
      <c r="W207" s="9">
        <f t="shared" si="71"/>
        <v>0</v>
      </c>
    </row>
    <row r="208" spans="1:27" ht="20.100000000000001" customHeight="1" x14ac:dyDescent="0.25">
      <c r="A208" s="97">
        <f>'NELIOTA (p&lt;0.5)'!A248</f>
        <v>43703</v>
      </c>
      <c r="B208" s="74" t="str">
        <f>'NELIOTA (p&lt;0.5)'!B248</f>
        <v>04:00-06:30</v>
      </c>
      <c r="C208" s="99">
        <f>'NELIOTA (p&lt;0.5)'!C248</f>
        <v>0.254</v>
      </c>
      <c r="D208" s="118" t="str">
        <f>'NELIOTA (p&lt;0.5)'!E248</f>
        <v>1 validated</v>
      </c>
      <c r="E208" s="74" t="str">
        <f>'NELIOTA (p&lt;0.5)'!F248</f>
        <v>Very good</v>
      </c>
      <c r="F208" s="74"/>
      <c r="G208" s="8">
        <f>'NELIOTA (p&lt;0.5)'!H248</f>
        <v>100</v>
      </c>
      <c r="H208" s="8">
        <f>'NELIOTA (p&lt;0.5)'!I248</f>
        <v>0</v>
      </c>
      <c r="I208" s="8">
        <f>'NELIOTA (p&lt;0.5)'!J248</f>
        <v>0</v>
      </c>
      <c r="K208" s="98">
        <f>'NELIOTA (p&lt;0.5)'!M248</f>
        <v>5788.4560000000001</v>
      </c>
      <c r="L208" s="93">
        <f t="shared" si="63"/>
        <v>1.6079044444444446</v>
      </c>
      <c r="N208" s="11">
        <v>2</v>
      </c>
      <c r="O208" s="11">
        <v>34.5</v>
      </c>
      <c r="P208" s="9">
        <f t="shared" si="64"/>
        <v>2.5750000000000002</v>
      </c>
      <c r="Q208" s="93">
        <f t="shared" si="65"/>
        <v>1.6068</v>
      </c>
      <c r="R208" s="9">
        <f t="shared" si="66"/>
        <v>1.6079044444444446</v>
      </c>
      <c r="S208" s="9">
        <f t="shared" si="67"/>
        <v>100.06873565125993</v>
      </c>
      <c r="T208" s="9">
        <f t="shared" si="68"/>
        <v>1.6079044444444446</v>
      </c>
      <c r="U208" s="9">
        <f t="shared" si="69"/>
        <v>1.6079044444444446</v>
      </c>
      <c r="V208" s="9">
        <f t="shared" si="70"/>
        <v>0</v>
      </c>
      <c r="W208" s="9">
        <f t="shared" si="71"/>
        <v>0</v>
      </c>
    </row>
    <row r="209" spans="1:27" ht="20.100000000000001" customHeight="1" x14ac:dyDescent="0.25">
      <c r="A209" s="97">
        <f>'NELIOTA (p&lt;0.5)'!A249</f>
        <v>43704</v>
      </c>
      <c r="B209" s="74" t="str">
        <f>'NELIOTA (p&lt;0.5)'!B249</f>
        <v>05:00-06:30</v>
      </c>
      <c r="C209" s="99">
        <f>'NELIOTA (p&lt;0.5)'!C249</f>
        <v>0.158</v>
      </c>
      <c r="D209" s="118" t="str">
        <f>'NELIOTA (p&lt;0.5)'!E249</f>
        <v>1 suspected</v>
      </c>
      <c r="E209" s="74" t="str">
        <f>'NELIOTA (p&lt;0.5)'!F249</f>
        <v>Very good</v>
      </c>
      <c r="F209" s="74" t="str">
        <f>'NELIOTA (p&lt;0.5)'!G249</f>
        <v>~8% (7 min) lost due to sporadic clouds</v>
      </c>
      <c r="G209" s="8">
        <f>'NELIOTA (p&lt;0.5)'!H249</f>
        <v>92</v>
      </c>
      <c r="H209" s="8">
        <f>'NELIOTA (p&lt;0.5)'!I249</f>
        <v>8</v>
      </c>
      <c r="I209" s="8">
        <f>'NELIOTA (p&lt;0.5)'!J249</f>
        <v>0</v>
      </c>
      <c r="K209" s="98">
        <f>'NELIOTA (p&lt;0.5)'!M249</f>
        <v>3123.1</v>
      </c>
      <c r="L209" s="93">
        <f t="shared" si="63"/>
        <v>0.86752777777777779</v>
      </c>
      <c r="N209" s="11">
        <v>1</v>
      </c>
      <c r="O209" s="11">
        <v>30</v>
      </c>
      <c r="P209" s="9">
        <f t="shared" si="64"/>
        <v>1.5</v>
      </c>
      <c r="Q209" s="93">
        <f t="shared" si="65"/>
        <v>0.93599999999999994</v>
      </c>
      <c r="R209" s="9">
        <f t="shared" si="66"/>
        <v>0.93599999999999994</v>
      </c>
      <c r="S209" s="9">
        <f t="shared" si="67"/>
        <v>92.684591642924985</v>
      </c>
      <c r="T209" s="9">
        <f t="shared" si="68"/>
        <v>0.93599999999999994</v>
      </c>
      <c r="U209" s="9">
        <f t="shared" si="69"/>
        <v>0.86752777777777779</v>
      </c>
      <c r="V209" s="9">
        <f t="shared" si="70"/>
        <v>7.4880000000000002E-2</v>
      </c>
      <c r="W209" s="9">
        <f t="shared" si="71"/>
        <v>0</v>
      </c>
    </row>
    <row r="210" spans="1:27" ht="20.100000000000001" customHeight="1" x14ac:dyDescent="0.25">
      <c r="A210" s="97">
        <f>'NELIOTA (p&lt;0.5)'!A250</f>
        <v>43705</v>
      </c>
      <c r="B210" s="74" t="str">
        <f>'NELIOTA (p&lt;0.5)'!B250</f>
        <v>06:05-06:30</v>
      </c>
      <c r="C210" s="99">
        <f>'NELIOTA (p&lt;0.5)'!C250</f>
        <v>7.9000000000000001E-2</v>
      </c>
      <c r="D210" s="118" t="str">
        <f>'NELIOTA (p&lt;0.5)'!E250</f>
        <v>1 validated</v>
      </c>
      <c r="E210" s="74" t="str">
        <f>'NELIOTA (p&lt;0.5)'!F250</f>
        <v>good</v>
      </c>
      <c r="F210" s="74"/>
      <c r="G210" s="8">
        <f>'NELIOTA (p&lt;0.5)'!H250</f>
        <v>100</v>
      </c>
      <c r="H210" s="8">
        <f>'NELIOTA (p&lt;0.5)'!I250</f>
        <v>0</v>
      </c>
      <c r="I210" s="8">
        <f>'NELIOTA (p&lt;0.5)'!J250</f>
        <v>0</v>
      </c>
      <c r="K210" s="98">
        <f>'NELIOTA (p&lt;0.5)'!M250</f>
        <v>1180.2449999999999</v>
      </c>
      <c r="L210" s="93">
        <f t="shared" si="63"/>
        <v>0.32784583333333328</v>
      </c>
      <c r="N210" s="11">
        <v>0</v>
      </c>
      <c r="O210" s="11">
        <v>31.5</v>
      </c>
      <c r="P210" s="9">
        <f t="shared" si="64"/>
        <v>0.52500000000000002</v>
      </c>
      <c r="Q210" s="93">
        <f t="shared" si="65"/>
        <v>0.3276</v>
      </c>
      <c r="R210" s="9">
        <f t="shared" si="66"/>
        <v>0.32784583333333328</v>
      </c>
      <c r="S210" s="9">
        <f t="shared" si="67"/>
        <v>100.07504070004069</v>
      </c>
      <c r="T210" s="9">
        <f t="shared" si="68"/>
        <v>0.32784583333333328</v>
      </c>
      <c r="U210" s="9">
        <f t="shared" si="69"/>
        <v>0.32784583333333328</v>
      </c>
      <c r="V210" s="9">
        <f t="shared" si="70"/>
        <v>0</v>
      </c>
      <c r="W210" s="9">
        <f t="shared" si="71"/>
        <v>0</v>
      </c>
      <c r="X210" s="9">
        <f>SUM(U204:U210)</f>
        <v>5.994611388888889</v>
      </c>
      <c r="Y210" s="9">
        <f>100*X210/SUM(T204:T210)</f>
        <v>90.362318940708434</v>
      </c>
      <c r="Z210" s="9">
        <f>100*SUM(V204:V210)/SUM(T204:T210)</f>
        <v>10.221326663624248</v>
      </c>
      <c r="AA210" s="9">
        <f>100*SUM(W204:W210)/SUM(T204:T210)</f>
        <v>0</v>
      </c>
    </row>
    <row r="211" spans="1:27" s="48" customFormat="1" ht="20.100000000000001" customHeight="1" x14ac:dyDescent="0.25">
      <c r="A211" s="94">
        <f>'NELIOTA (p&lt;0.5)'!A251</f>
        <v>43711</v>
      </c>
      <c r="B211" s="62" t="str">
        <f>'NELIOTA (p&lt;0.5)'!B251</f>
        <v>20:20-20:45</v>
      </c>
      <c r="C211" s="100">
        <f>'NELIOTA (p&lt;0.5)'!C251</f>
        <v>0.249</v>
      </c>
      <c r="D211" s="64">
        <f>'NELIOTA (p&lt;0.5)'!E251</f>
        <v>0</v>
      </c>
      <c r="E211" s="62" t="str">
        <f>'NELIOTA (p&lt;0.5)'!F251</f>
        <v>good</v>
      </c>
      <c r="F211" s="62"/>
      <c r="G211" s="24">
        <f>'NELIOTA (p&lt;0.5)'!H251</f>
        <v>100</v>
      </c>
      <c r="H211" s="24">
        <f>'NELIOTA (p&lt;0.5)'!I251</f>
        <v>0</v>
      </c>
      <c r="I211" s="24">
        <f>'NELIOTA (p&lt;0.5)'!J251</f>
        <v>0</v>
      </c>
      <c r="K211" s="101">
        <f>'NELIOTA (p&lt;0.5)'!M251</f>
        <v>930.44</v>
      </c>
      <c r="L211" s="92">
        <f t="shared" si="63"/>
        <v>0.25845555555555555</v>
      </c>
      <c r="N211" s="47">
        <v>0</v>
      </c>
      <c r="O211" s="47">
        <v>24.8</v>
      </c>
      <c r="P211" s="33">
        <f t="shared" si="64"/>
        <v>0.41333333333333333</v>
      </c>
      <c r="Q211" s="92">
        <f t="shared" si="65"/>
        <v>0.25791999999999998</v>
      </c>
      <c r="R211" s="33">
        <f t="shared" si="66"/>
        <v>0.25845555555555555</v>
      </c>
      <c r="S211" s="33">
        <f t="shared" si="67"/>
        <v>100.20764405845053</v>
      </c>
      <c r="T211" s="33">
        <f t="shared" si="68"/>
        <v>0.25845555555555555</v>
      </c>
      <c r="U211" s="33">
        <f t="shared" si="69"/>
        <v>0.25845555555555555</v>
      </c>
      <c r="V211" s="33">
        <f t="shared" si="70"/>
        <v>0</v>
      </c>
      <c r="W211" s="33">
        <f t="shared" si="71"/>
        <v>0</v>
      </c>
    </row>
    <row r="212" spans="1:27" ht="20.100000000000001" customHeight="1" x14ac:dyDescent="0.25">
      <c r="A212" s="82">
        <f>'NELIOTA (p&lt;0.5)'!A252</f>
        <v>43712</v>
      </c>
      <c r="B212" s="58" t="str">
        <f>'NELIOTA (p&lt;0.5)'!B252</f>
        <v>20:20-21:15</v>
      </c>
      <c r="C212" s="102">
        <f>'NELIOTA (p&lt;0.5)'!C252</f>
        <v>0.35499999999999998</v>
      </c>
      <c r="D212" s="60">
        <f>'NELIOTA (p&lt;0.5)'!E252</f>
        <v>0</v>
      </c>
      <c r="E212" s="58" t="str">
        <f>'NELIOTA (p&lt;0.5)'!F252</f>
        <v>good</v>
      </c>
      <c r="F212" s="58"/>
      <c r="G212" s="8">
        <f>'NELIOTA (p&lt;0.5)'!H252</f>
        <v>100</v>
      </c>
      <c r="H212" s="8">
        <f>'NELIOTA (p&lt;0.5)'!I252</f>
        <v>0</v>
      </c>
      <c r="I212" s="8">
        <f>'NELIOTA (p&lt;0.5)'!J252</f>
        <v>0</v>
      </c>
      <c r="K212" s="98">
        <f>'NELIOTA (p&lt;0.5)'!M252</f>
        <v>2799.4</v>
      </c>
      <c r="L212" s="93">
        <f t="shared" si="63"/>
        <v>0.77761111111111114</v>
      </c>
      <c r="N212" s="11">
        <v>1</v>
      </c>
      <c r="O212" s="11">
        <v>14.7</v>
      </c>
      <c r="P212" s="9">
        <f t="shared" si="64"/>
        <v>1.2450000000000001</v>
      </c>
      <c r="Q212" s="93">
        <f t="shared" si="65"/>
        <v>0.77688000000000001</v>
      </c>
      <c r="R212" s="9">
        <f t="shared" si="66"/>
        <v>0.77761111111111114</v>
      </c>
      <c r="S212" s="9">
        <f t="shared" si="67"/>
        <v>100.09410862824518</v>
      </c>
      <c r="T212" s="9">
        <f t="shared" si="68"/>
        <v>0.77761111111111114</v>
      </c>
      <c r="U212" s="9">
        <f t="shared" si="69"/>
        <v>0.77761111111111114</v>
      </c>
      <c r="V212" s="9">
        <f t="shared" si="70"/>
        <v>0</v>
      </c>
      <c r="W212" s="9">
        <f t="shared" si="71"/>
        <v>0</v>
      </c>
    </row>
    <row r="213" spans="1:27" ht="20.100000000000001" customHeight="1" x14ac:dyDescent="0.25">
      <c r="A213" s="82">
        <f>'NELIOTA (p&lt;0.5)'!A253</f>
        <v>43713</v>
      </c>
      <c r="B213" s="58" t="str">
        <f>'NELIOTA (p&lt;0.5)'!B253</f>
        <v>20:20-21:45</v>
      </c>
      <c r="C213" s="102">
        <f>'NELIOTA (p&lt;0.5)'!C253</f>
        <v>0.46400000000000002</v>
      </c>
      <c r="D213" s="60" t="str">
        <f>'NELIOTA (p&lt;0.5)'!E253</f>
        <v>2 validated</v>
      </c>
      <c r="E213" s="58" t="str">
        <f>'NELIOTA (p&lt;0.5)'!F253</f>
        <v>good</v>
      </c>
      <c r="F213" s="58" t="str">
        <f>'NELIOTA (p&lt;0.5)'!G253</f>
        <v>test for phase 0.46 (distance 380.000 km). Coverage ~80%</v>
      </c>
      <c r="G213" s="8">
        <f>'NELIOTA (p&lt;0.5)'!H253</f>
        <v>100</v>
      </c>
      <c r="H213" s="8">
        <f>'NELIOTA (p&lt;0.5)'!I253</f>
        <v>0</v>
      </c>
      <c r="I213" s="8">
        <f>'NELIOTA (p&lt;0.5)'!J253</f>
        <v>0</v>
      </c>
      <c r="K213" s="98">
        <f>'NELIOTA (p&lt;0.5)'!M253</f>
        <v>3553.98</v>
      </c>
      <c r="L213" s="93">
        <f t="shared" si="63"/>
        <v>0.98721666666666663</v>
      </c>
      <c r="N213" s="11">
        <v>1</v>
      </c>
      <c r="O213" s="11">
        <v>34.9</v>
      </c>
      <c r="P213" s="9">
        <f t="shared" si="64"/>
        <v>1.5816666666666666</v>
      </c>
      <c r="Q213" s="93">
        <f t="shared" si="65"/>
        <v>0.98695999999999995</v>
      </c>
      <c r="R213" s="9">
        <f t="shared" si="66"/>
        <v>0.98721666666666663</v>
      </c>
      <c r="S213" s="9">
        <f t="shared" si="67"/>
        <v>100.0260057820648</v>
      </c>
      <c r="T213" s="9">
        <f t="shared" si="68"/>
        <v>0.98721666666666663</v>
      </c>
      <c r="U213" s="9">
        <f t="shared" si="69"/>
        <v>0.98721666666666663</v>
      </c>
      <c r="V213" s="9">
        <f t="shared" si="70"/>
        <v>0</v>
      </c>
      <c r="W213" s="9">
        <f t="shared" si="71"/>
        <v>0</v>
      </c>
    </row>
    <row r="214" spans="1:27" ht="20.100000000000001" customHeight="1" x14ac:dyDescent="0.25">
      <c r="A214" s="82">
        <f>'NELIOTA (p&lt;0.5)'!A254</f>
        <v>43731</v>
      </c>
      <c r="B214" s="58" t="str">
        <f>'NELIOTA (p&lt;0.5)'!B254</f>
        <v>02:45-07:00</v>
      </c>
      <c r="C214" s="102">
        <f>'NELIOTA (p&lt;0.5)'!C254</f>
        <v>0.40699999999999997</v>
      </c>
      <c r="D214" s="60" t="str">
        <f>'NELIOTA (p&lt;0.5)'!E254</f>
        <v>1 val + 1 susp</v>
      </c>
      <c r="E214" s="58" t="str">
        <f>'NELIOTA (p&lt;0.5)'!F254</f>
        <v>good</v>
      </c>
      <c r="F214" s="58" t="str">
        <f>'NELIOTA (p&lt;0.5)'!G254</f>
        <v>sporadic clouds for ~10 min</v>
      </c>
      <c r="G214" s="8">
        <f>'NELIOTA (p&lt;0.5)'!H254</f>
        <v>96</v>
      </c>
      <c r="H214" s="8">
        <f>'NELIOTA (p&lt;0.5)'!I254</f>
        <v>4</v>
      </c>
      <c r="I214" s="8">
        <f>'NELIOTA (p&lt;0.5)'!J254</f>
        <v>0</v>
      </c>
      <c r="K214" s="98">
        <f>'NELIOTA (p&lt;0.5)'!M254</f>
        <v>8712</v>
      </c>
      <c r="L214" s="93">
        <f t="shared" si="63"/>
        <v>2.42</v>
      </c>
      <c r="N214" s="11">
        <v>4</v>
      </c>
      <c r="O214" s="11">
        <v>2</v>
      </c>
      <c r="P214" s="9">
        <f t="shared" si="64"/>
        <v>4.0333333333333332</v>
      </c>
      <c r="Q214" s="93">
        <f t="shared" si="65"/>
        <v>2.5167999999999999</v>
      </c>
      <c r="R214" s="9">
        <f t="shared" si="66"/>
        <v>2.5167999999999999</v>
      </c>
      <c r="S214" s="9">
        <f t="shared" si="67"/>
        <v>96.15384615384616</v>
      </c>
      <c r="T214" s="9">
        <f t="shared" si="68"/>
        <v>2.5167999999999999</v>
      </c>
      <c r="U214" s="9">
        <f t="shared" si="69"/>
        <v>2.42</v>
      </c>
      <c r="V214" s="9">
        <f t="shared" si="70"/>
        <v>0.100672</v>
      </c>
      <c r="W214" s="9">
        <f t="shared" si="71"/>
        <v>0</v>
      </c>
    </row>
    <row r="215" spans="1:27" ht="20.100000000000001" customHeight="1" x14ac:dyDescent="0.25">
      <c r="A215" s="82">
        <f>'NELIOTA (p&lt;0.5)'!A255</f>
        <v>43732</v>
      </c>
      <c r="B215" s="58" t="str">
        <f>'NELIOTA (p&lt;0.5)'!B255</f>
        <v>03:45-07:00</v>
      </c>
      <c r="C215" s="102">
        <f>'NELIOTA (p&lt;0.5)'!C255</f>
        <v>0.29499999999999998</v>
      </c>
      <c r="D215" s="60">
        <f>'NELIOTA (p&lt;0.5)'!E255</f>
        <v>0</v>
      </c>
      <c r="E215" s="58" t="str">
        <f>'NELIOTA (p&lt;0.5)'!F255</f>
        <v>moderate</v>
      </c>
      <c r="F215" s="58" t="str">
        <f>'NELIOTA (p&lt;0.5)'!G255</f>
        <v>cloudiness after 05:30</v>
      </c>
      <c r="G215" s="8">
        <f>'NELIOTA (p&lt;0.5)'!H255</f>
        <v>54</v>
      </c>
      <c r="H215" s="8">
        <f>'NELIOTA (p&lt;0.5)'!I255</f>
        <v>46</v>
      </c>
      <c r="I215" s="8">
        <f>'NELIOTA (p&lt;0.5)'!J255</f>
        <v>0</v>
      </c>
      <c r="K215" s="98">
        <f>'NELIOTA (p&lt;0.5)'!M255</f>
        <v>4466.3999999999996</v>
      </c>
      <c r="L215" s="93">
        <f t="shared" si="63"/>
        <v>1.2406666666666666</v>
      </c>
      <c r="N215" s="11">
        <v>3</v>
      </c>
      <c r="O215" s="11">
        <v>15</v>
      </c>
      <c r="P215" s="9">
        <f t="shared" si="64"/>
        <v>3.25</v>
      </c>
      <c r="Q215" s="93">
        <f t="shared" si="65"/>
        <v>2.028</v>
      </c>
      <c r="R215" s="9">
        <f t="shared" si="66"/>
        <v>2.028</v>
      </c>
      <c r="S215" s="9">
        <f t="shared" si="67"/>
        <v>61.176857330703484</v>
      </c>
      <c r="T215" s="9">
        <f t="shared" si="68"/>
        <v>2.028</v>
      </c>
      <c r="U215" s="9">
        <f t="shared" si="69"/>
        <v>1.2406666666666666</v>
      </c>
      <c r="V215" s="9">
        <f t="shared" si="70"/>
        <v>0.93288000000000004</v>
      </c>
      <c r="W215" s="9">
        <f t="shared" si="71"/>
        <v>0</v>
      </c>
    </row>
    <row r="216" spans="1:27" ht="20.100000000000001" customHeight="1" x14ac:dyDescent="0.25">
      <c r="A216" s="82">
        <f>'NELIOTA (p&lt;0.5)'!A256</f>
        <v>43733</v>
      </c>
      <c r="B216" s="58" t="str">
        <f>'NELIOTA (p&lt;0.5)'!B256</f>
        <v>04:50-07:00</v>
      </c>
      <c r="C216" s="102">
        <f>'NELIOTA (p&lt;0.5)'!C256</f>
        <v>0.191</v>
      </c>
      <c r="D216" s="60" t="str">
        <f>'NELIOTA (p&lt;0.5)'!E256</f>
        <v>1 validated</v>
      </c>
      <c r="E216" s="58" t="str">
        <f>'NELIOTA (p&lt;0.5)'!F256</f>
        <v>Very good</v>
      </c>
      <c r="F216" s="58"/>
      <c r="G216" s="8">
        <f>'NELIOTA (p&lt;0.5)'!H256</f>
        <v>100</v>
      </c>
      <c r="H216" s="8">
        <f>'NELIOTA (p&lt;0.5)'!I256</f>
        <v>0</v>
      </c>
      <c r="I216" s="8">
        <f>'NELIOTA (p&lt;0.5)'!J256</f>
        <v>0</v>
      </c>
      <c r="K216" s="98">
        <f>'NELIOTA (p&lt;0.5)'!M256</f>
        <v>4970.1899999999996</v>
      </c>
      <c r="L216" s="93">
        <f t="shared" si="63"/>
        <v>1.3806083333333332</v>
      </c>
      <c r="N216" s="11">
        <v>2</v>
      </c>
      <c r="O216" s="11">
        <v>10</v>
      </c>
      <c r="P216" s="9">
        <f t="shared" si="64"/>
        <v>2.1666666666666665</v>
      </c>
      <c r="Q216" s="93">
        <f t="shared" si="65"/>
        <v>1.3519999999999999</v>
      </c>
      <c r="R216" s="9">
        <f t="shared" si="66"/>
        <v>1.3806083333333332</v>
      </c>
      <c r="S216" s="9">
        <f t="shared" si="67"/>
        <v>102.1160009861933</v>
      </c>
      <c r="T216" s="9">
        <f t="shared" si="68"/>
        <v>1.3806083333333332</v>
      </c>
      <c r="U216" s="9">
        <f t="shared" si="69"/>
        <v>1.3806083333333332</v>
      </c>
      <c r="V216" s="9">
        <f t="shared" si="70"/>
        <v>0</v>
      </c>
      <c r="W216" s="9">
        <f t="shared" si="71"/>
        <v>0</v>
      </c>
    </row>
    <row r="217" spans="1:27" ht="20.100000000000001" customHeight="1" x14ac:dyDescent="0.25">
      <c r="A217" s="82">
        <f>'NELIOTA (p&lt;0.5)'!A257</f>
        <v>43734</v>
      </c>
      <c r="B217" s="58" t="str">
        <f>'NELIOTA (p&lt;0.5)'!B257</f>
        <v>06:00-07:00</v>
      </c>
      <c r="C217" s="102">
        <f>'NELIOTA (p&lt;0.5)'!C257</f>
        <v>0.10299999999999999</v>
      </c>
      <c r="D217" s="60">
        <f>'NELIOTA (p&lt;0.5)'!E257</f>
        <v>0</v>
      </c>
      <c r="E217" s="58" t="str">
        <f>'NELIOTA (p&lt;0.5)'!F257</f>
        <v>Very good</v>
      </c>
      <c r="F217" s="58"/>
      <c r="G217" s="8">
        <f>'NELIOTA (p&lt;0.5)'!H257</f>
        <v>100</v>
      </c>
      <c r="H217" s="8">
        <f>'NELIOTA (p&lt;0.5)'!I257</f>
        <v>0</v>
      </c>
      <c r="I217" s="8">
        <f>'NELIOTA (p&lt;0.5)'!J257</f>
        <v>0</v>
      </c>
      <c r="K217" s="98">
        <f>'NELIOTA (p&lt;0.5)'!M257</f>
        <v>2032.6</v>
      </c>
      <c r="L217" s="93">
        <f t="shared" ref="L217" si="72">K217/3600</f>
        <v>0.56461111111111106</v>
      </c>
      <c r="N217" s="11">
        <v>1</v>
      </c>
      <c r="O217" s="11">
        <v>0</v>
      </c>
      <c r="P217" s="9">
        <f t="shared" si="64"/>
        <v>1</v>
      </c>
      <c r="Q217" s="93">
        <f t="shared" si="65"/>
        <v>0.624</v>
      </c>
      <c r="R217" s="9">
        <f t="shared" ref="R217:R254" si="73">IF(G217=100,L217,Q217)</f>
        <v>0.56461111111111106</v>
      </c>
      <c r="S217" s="9">
        <f t="shared" ref="S217:S254" si="74">100*L217/Q217</f>
        <v>90.482549857549856</v>
      </c>
      <c r="T217" s="9">
        <f t="shared" ref="T217:T254" si="75">R217</f>
        <v>0.56461111111111106</v>
      </c>
      <c r="U217" s="9">
        <f t="shared" ref="U217:U254" si="76">L217</f>
        <v>0.56461111111111106</v>
      </c>
      <c r="V217" s="9">
        <f t="shared" ref="V217:V254" si="77">T217*H217%</f>
        <v>0</v>
      </c>
      <c r="W217" s="9">
        <f t="shared" ref="W217:W254" si="78">T217*I217%</f>
        <v>0</v>
      </c>
      <c r="X217" s="9">
        <f>SUM(U211:U217)</f>
        <v>7.629169444444444</v>
      </c>
      <c r="Y217" s="9">
        <f>100*X217/SUM(T211:T217)</f>
        <v>89.614684730335426</v>
      </c>
      <c r="Z217" s="9">
        <f>100*SUM(V211:V217)/SUM(T211:T217)</f>
        <v>12.140435116414213</v>
      </c>
      <c r="AA217" s="9">
        <f>100*SUM(W211:W217)/SUM(T211:T217)</f>
        <v>0</v>
      </c>
    </row>
    <row r="218" spans="1:27" s="48" customFormat="1" ht="20.100000000000001" customHeight="1" x14ac:dyDescent="0.25">
      <c r="A218" s="94">
        <f>'NELIOTA (p&lt;0.5)'!A258</f>
        <v>43741</v>
      </c>
      <c r="B218" s="62" t="str">
        <f>'NELIOTA (p&lt;0.5)'!B258</f>
        <v>19:35-20:20</v>
      </c>
      <c r="C218" s="100">
        <f>'NELIOTA (p&lt;0.5)'!C258</f>
        <v>0.30099999999999999</v>
      </c>
      <c r="D218" s="64">
        <f>'NELIOTA (p&lt;0.5)'!E258</f>
        <v>0</v>
      </c>
      <c r="E218" s="62" t="str">
        <f>'NELIOTA (p&lt;0.5)'!F258</f>
        <v>good</v>
      </c>
      <c r="F218" s="62"/>
      <c r="G218" s="24">
        <f>'NELIOTA (p&lt;0.5)'!H258</f>
        <v>100</v>
      </c>
      <c r="H218" s="24">
        <f>'NELIOTA (p&lt;0.5)'!I258</f>
        <v>0</v>
      </c>
      <c r="I218" s="24">
        <f>'NELIOTA (p&lt;0.5)'!J258</f>
        <v>0</v>
      </c>
      <c r="K218" s="101">
        <f>'NELIOTA (p&lt;0.5)'!M258</f>
        <v>2182</v>
      </c>
      <c r="L218" s="92">
        <f t="shared" ref="L218:L241" si="79">K218/3600</f>
        <v>0.60611111111111116</v>
      </c>
      <c r="N218" s="47">
        <v>0</v>
      </c>
      <c r="O218" s="47">
        <v>45</v>
      </c>
      <c r="P218" s="33">
        <f t="shared" si="64"/>
        <v>0.75</v>
      </c>
      <c r="Q218" s="33">
        <f t="shared" si="65"/>
        <v>0.46799999999999997</v>
      </c>
      <c r="R218" s="33">
        <f t="shared" si="73"/>
        <v>0.60611111111111116</v>
      </c>
      <c r="S218" s="33">
        <f t="shared" si="74"/>
        <v>129.51092117758785</v>
      </c>
      <c r="T218" s="33">
        <f t="shared" si="75"/>
        <v>0.60611111111111116</v>
      </c>
      <c r="U218" s="33">
        <f t="shared" si="76"/>
        <v>0.60611111111111116</v>
      </c>
      <c r="V218" s="33">
        <f t="shared" si="77"/>
        <v>0</v>
      </c>
      <c r="W218" s="33">
        <f t="shared" si="78"/>
        <v>0</v>
      </c>
    </row>
    <row r="219" spans="1:27" ht="20.100000000000001" customHeight="1" x14ac:dyDescent="0.25">
      <c r="A219" s="82">
        <f>'NELIOTA (p&lt;0.5)'!A259</f>
        <v>43742</v>
      </c>
      <c r="B219" s="58" t="str">
        <f>'NELIOTA (p&lt;0.5)'!B259</f>
        <v>19:35-21:00</v>
      </c>
      <c r="C219" s="102">
        <f>'NELIOTA (p&lt;0.5)'!C259</f>
        <v>0.40500000000000003</v>
      </c>
      <c r="D219" s="60">
        <f>'NELIOTA (p&lt;0.5)'!E259</f>
        <v>0</v>
      </c>
      <c r="E219" s="58" t="str">
        <f>'NELIOTA (p&lt;0.5)'!F259</f>
        <v>moderate</v>
      </c>
      <c r="F219" s="58" t="str">
        <f>'NELIOTA (p&lt;0.5)'!G259</f>
        <v>distance 385.000 km); ~87% coverage.</v>
      </c>
      <c r="G219" s="8">
        <f>'NELIOTA (p&lt;0.5)'!H259</f>
        <v>15</v>
      </c>
      <c r="H219" s="8">
        <f>'NELIOTA (p&lt;0.5)'!I259</f>
        <v>85</v>
      </c>
      <c r="I219" s="8">
        <f>'NELIOTA (p&lt;0.5)'!J259</f>
        <v>0</v>
      </c>
      <c r="K219" s="98">
        <f>'NELIOTA (p&lt;0.5)'!M259</f>
        <v>557.6</v>
      </c>
      <c r="L219" s="93">
        <f t="shared" si="79"/>
        <v>0.15488888888888888</v>
      </c>
      <c r="N219" s="11">
        <v>1</v>
      </c>
      <c r="O219" s="11">
        <v>25</v>
      </c>
      <c r="P219" s="9">
        <f t="shared" si="64"/>
        <v>1.4166666666666667</v>
      </c>
      <c r="Q219" s="9">
        <f t="shared" si="65"/>
        <v>0.88400000000000001</v>
      </c>
      <c r="R219" s="9">
        <f t="shared" si="73"/>
        <v>0.88400000000000001</v>
      </c>
      <c r="S219" s="9">
        <f t="shared" si="74"/>
        <v>17.52136752136752</v>
      </c>
      <c r="T219" s="9">
        <f t="shared" si="75"/>
        <v>0.88400000000000001</v>
      </c>
      <c r="U219" s="9">
        <f t="shared" si="76"/>
        <v>0.15488888888888888</v>
      </c>
      <c r="V219" s="9">
        <f t="shared" si="77"/>
        <v>0.75139999999999996</v>
      </c>
      <c r="W219" s="9">
        <f t="shared" si="78"/>
        <v>0</v>
      </c>
    </row>
    <row r="220" spans="1:27" ht="20.100000000000001" customHeight="1" x14ac:dyDescent="0.25">
      <c r="A220" s="97">
        <f>'NELIOTA (p&lt;0.5)'!A260</f>
        <v>43760</v>
      </c>
      <c r="B220" s="74" t="str">
        <f>'NELIOTA (p&lt;0.5)'!B260</f>
        <v>02:40-07:25</v>
      </c>
      <c r="C220" s="99">
        <f>'NELIOTA (p&lt;0.5)'!C260</f>
        <v>0.44900000000000001</v>
      </c>
      <c r="D220" s="118" t="str">
        <f>'NELIOTA (p&lt;0.5)'!E260</f>
        <v>1 validated</v>
      </c>
      <c r="E220" s="74" t="str">
        <f>'NELIOTA (p&lt;0.5)'!F260</f>
        <v>good</v>
      </c>
      <c r="F220" s="74" t="str">
        <f>'NELIOTA (p&lt;0.5)'!G260</f>
        <v>test for phase 0.45 (distance 371.000 km); ~78% coverage</v>
      </c>
      <c r="G220" s="8">
        <f>'NELIOTA (p&lt;0.5)'!H260</f>
        <v>100</v>
      </c>
      <c r="H220" s="8">
        <f>'NELIOTA (p&lt;0.5)'!I260</f>
        <v>0</v>
      </c>
      <c r="I220" s="8">
        <f>'NELIOTA (p&lt;0.5)'!J260</f>
        <v>0</v>
      </c>
      <c r="K220" s="98">
        <f>'NELIOTA (p&lt;0.5)'!M260</f>
        <v>10171.68</v>
      </c>
      <c r="L220" s="93">
        <f t="shared" si="79"/>
        <v>2.8254666666666668</v>
      </c>
      <c r="N220" s="11">
        <v>4</v>
      </c>
      <c r="O220" s="11">
        <v>31.5</v>
      </c>
      <c r="P220" s="9">
        <f t="shared" si="64"/>
        <v>4.5250000000000004</v>
      </c>
      <c r="Q220" s="9">
        <f t="shared" si="65"/>
        <v>2.8236000000000003</v>
      </c>
      <c r="R220" s="9">
        <f t="shared" si="73"/>
        <v>2.8254666666666668</v>
      </c>
      <c r="S220" s="9">
        <f t="shared" si="74"/>
        <v>100.06610945837464</v>
      </c>
      <c r="T220" s="9">
        <f t="shared" si="75"/>
        <v>2.8254666666666668</v>
      </c>
      <c r="U220" s="9">
        <f t="shared" si="76"/>
        <v>2.8254666666666668</v>
      </c>
      <c r="V220" s="9">
        <f t="shared" si="77"/>
        <v>0</v>
      </c>
      <c r="W220" s="9">
        <f t="shared" si="78"/>
        <v>0</v>
      </c>
    </row>
    <row r="221" spans="1:27" ht="20.100000000000001" customHeight="1" x14ac:dyDescent="0.25">
      <c r="A221" s="97">
        <f>'NELIOTA (p&lt;0.5)'!A261</f>
        <v>43761</v>
      </c>
      <c r="B221" s="74" t="str">
        <f>'NELIOTA (p&lt;0.5)'!B261</f>
        <v>03:45-07:25</v>
      </c>
      <c r="C221" s="99">
        <f>'NELIOTA (p&lt;0.5)'!C261</f>
        <v>0.33300000000000002</v>
      </c>
      <c r="D221" s="118" t="str">
        <f>'NELIOTA (p&lt;0.5)'!E261</f>
        <v>0</v>
      </c>
      <c r="E221" s="74" t="str">
        <f>'NELIOTA (p&lt;0.5)'!F261</f>
        <v>moderate</v>
      </c>
      <c r="F221" s="74" t="str">
        <f>'NELIOTA (p&lt;0.5)'!G261</f>
        <v>bad seeing (&gt;3'')</v>
      </c>
      <c r="G221" s="8">
        <f>'NELIOTA (p&lt;0.5)'!H261</f>
        <v>100</v>
      </c>
      <c r="H221" s="8">
        <f>'NELIOTA (p&lt;0.5)'!I261</f>
        <v>0</v>
      </c>
      <c r="I221" s="8">
        <f>'NELIOTA (p&lt;0.5)'!J261</f>
        <v>0</v>
      </c>
      <c r="K221" s="98">
        <f>'NELIOTA (p&lt;0.5)'!M261</f>
        <v>7907.4</v>
      </c>
      <c r="L221" s="93">
        <f t="shared" si="79"/>
        <v>2.1964999999999999</v>
      </c>
      <c r="N221" s="11">
        <v>3</v>
      </c>
      <c r="O221" s="11">
        <v>31.2</v>
      </c>
      <c r="P221" s="9">
        <f t="shared" si="64"/>
        <v>3.52</v>
      </c>
      <c r="Q221" s="9">
        <f t="shared" si="65"/>
        <v>2.1964800000000002</v>
      </c>
      <c r="R221" s="9">
        <f t="shared" si="73"/>
        <v>2.1964999999999999</v>
      </c>
      <c r="S221" s="9">
        <f t="shared" si="74"/>
        <v>100.00091054778552</v>
      </c>
      <c r="T221" s="9">
        <f t="shared" si="75"/>
        <v>2.1964999999999999</v>
      </c>
      <c r="U221" s="9">
        <f t="shared" si="76"/>
        <v>2.1964999999999999</v>
      </c>
      <c r="V221" s="9">
        <f t="shared" si="77"/>
        <v>0</v>
      </c>
      <c r="W221" s="9">
        <f t="shared" si="78"/>
        <v>0</v>
      </c>
    </row>
    <row r="222" spans="1:27" ht="20.100000000000001" customHeight="1" x14ac:dyDescent="0.25">
      <c r="A222" s="97">
        <f>'NELIOTA (p&lt;0.5)'!A262</f>
        <v>43762</v>
      </c>
      <c r="B222" s="74" t="str">
        <f>'NELIOTA (p&lt;0.5)'!B262</f>
        <v>04:50-07:25</v>
      </c>
      <c r="C222" s="99">
        <f>'NELIOTA (p&lt;0.5)'!C262</f>
        <v>0.224</v>
      </c>
      <c r="D222" s="118" t="str">
        <f>'NELIOTA (p&lt;0.5)'!E262</f>
        <v>1 validated</v>
      </c>
      <c r="E222" s="74" t="str">
        <f>'NELIOTA (p&lt;0.5)'!F262</f>
        <v>moderate</v>
      </c>
      <c r="F222" s="74" t="str">
        <f>'NELIOTA (p&lt;0.5)'!G262</f>
        <v>bad seeing (&gt;3'')</v>
      </c>
      <c r="G222" s="8">
        <f>'NELIOTA (p&lt;0.5)'!H262</f>
        <v>100</v>
      </c>
      <c r="H222" s="8">
        <f>'NELIOTA (p&lt;0.5)'!I262</f>
        <v>0</v>
      </c>
      <c r="I222" s="8">
        <f>'NELIOTA (p&lt;0.5)'!J262</f>
        <v>0</v>
      </c>
      <c r="K222" s="98">
        <f>'NELIOTA (p&lt;0.5)'!M262</f>
        <v>5804.5</v>
      </c>
      <c r="L222" s="93">
        <f t="shared" si="79"/>
        <v>1.6123611111111111</v>
      </c>
      <c r="N222" s="11">
        <v>2</v>
      </c>
      <c r="O222" s="11">
        <v>35.049999999999997</v>
      </c>
      <c r="P222" s="9">
        <f t="shared" si="64"/>
        <v>2.5841666666666665</v>
      </c>
      <c r="Q222" s="9">
        <f t="shared" si="65"/>
        <v>1.61252</v>
      </c>
      <c r="R222" s="9">
        <f t="shared" si="73"/>
        <v>1.6123611111111111</v>
      </c>
      <c r="S222" s="9">
        <f t="shared" si="74"/>
        <v>99.990146547708633</v>
      </c>
      <c r="T222" s="9">
        <f t="shared" si="75"/>
        <v>1.6123611111111111</v>
      </c>
      <c r="U222" s="9">
        <f t="shared" si="76"/>
        <v>1.6123611111111111</v>
      </c>
      <c r="V222" s="9">
        <f t="shared" si="77"/>
        <v>0</v>
      </c>
      <c r="W222" s="9">
        <f t="shared" si="78"/>
        <v>0</v>
      </c>
    </row>
    <row r="223" spans="1:27" ht="20.100000000000001" customHeight="1" x14ac:dyDescent="0.25">
      <c r="A223" s="97">
        <f>'NELIOTA (p&lt;0.5)'!A263</f>
        <v>43763</v>
      </c>
      <c r="B223" s="74" t="str">
        <f>'NELIOTA (p&lt;0.5)'!B263</f>
        <v>06:00-07:25</v>
      </c>
      <c r="C223" s="99">
        <f>'NELIOTA (p&lt;0.5)'!C263</f>
        <v>0.129</v>
      </c>
      <c r="D223" s="118" t="str">
        <f>'NELIOTA (p&lt;0.5)'!E263</f>
        <v>1 suspected</v>
      </c>
      <c r="E223" s="74" t="str">
        <f>'NELIOTA (p&lt;0.5)'!F263</f>
        <v>Very good</v>
      </c>
      <c r="F223" s="74"/>
      <c r="G223" s="8">
        <f>'NELIOTA (p&lt;0.5)'!H263</f>
        <v>100</v>
      </c>
      <c r="H223" s="8">
        <f>'NELIOTA (p&lt;0.5)'!I263</f>
        <v>0</v>
      </c>
      <c r="I223" s="8">
        <f>'NELIOTA (p&lt;0.5)'!J263</f>
        <v>0</v>
      </c>
      <c r="K223" s="98">
        <f>'NELIOTA (p&lt;0.5)'!M263</f>
        <v>3069.9</v>
      </c>
      <c r="L223" s="93">
        <f t="shared" si="79"/>
        <v>0.85275000000000001</v>
      </c>
      <c r="N223" s="11">
        <v>1</v>
      </c>
      <c r="O223" s="11">
        <v>22</v>
      </c>
      <c r="P223" s="9">
        <f t="shared" si="64"/>
        <v>1.3666666666666667</v>
      </c>
      <c r="Q223" s="9">
        <f t="shared" si="65"/>
        <v>0.8528</v>
      </c>
      <c r="R223" s="9">
        <f t="shared" si="73"/>
        <v>0.85275000000000001</v>
      </c>
      <c r="S223" s="9">
        <f t="shared" si="74"/>
        <v>99.994136960600386</v>
      </c>
      <c r="T223" s="9">
        <f t="shared" si="75"/>
        <v>0.85275000000000001</v>
      </c>
      <c r="U223" s="9">
        <f t="shared" si="76"/>
        <v>0.85275000000000001</v>
      </c>
      <c r="V223" s="9">
        <f t="shared" si="77"/>
        <v>0</v>
      </c>
      <c r="W223" s="9">
        <f t="shared" si="78"/>
        <v>0</v>
      </c>
      <c r="X223" s="9">
        <f>SUM(U218:U223)</f>
        <v>8.2480777777777785</v>
      </c>
      <c r="Y223" s="9">
        <f>100*X223/SUM(T218:T223)</f>
        <v>91.878180128151968</v>
      </c>
      <c r="Z223" s="9">
        <f>100*SUM(V218:V223)/SUM(T218:T223)</f>
        <v>8.3701034845107412</v>
      </c>
      <c r="AA223" s="9">
        <f>100*SUM(W218:W223)/SUM(T218:T223)</f>
        <v>0</v>
      </c>
    </row>
    <row r="224" spans="1:27" s="48" customFormat="1" ht="20.100000000000001" customHeight="1" x14ac:dyDescent="0.25">
      <c r="A224" s="94">
        <f>'NELIOTA (p&lt;0.5)'!A264</f>
        <v>43770</v>
      </c>
      <c r="B224" s="62" t="str">
        <f>'NELIOTA (p&lt;0.5)'!B264</f>
        <v>17:50-18:35</v>
      </c>
      <c r="C224" s="100">
        <f>'NELIOTA (p&lt;0.5)'!C264</f>
        <v>0.24</v>
      </c>
      <c r="D224" s="64">
        <f>'NELIOTA (p&lt;0.5)'!E264</f>
        <v>0</v>
      </c>
      <c r="E224" s="62" t="str">
        <f>'NELIOTA (p&lt;0.5)'!F264</f>
        <v>Cloudiness</v>
      </c>
      <c r="F224" s="62"/>
      <c r="G224" s="24">
        <f>'NELIOTA (p&lt;0.5)'!H264</f>
        <v>0</v>
      </c>
      <c r="H224" s="24">
        <f>'NELIOTA (p&lt;0.5)'!I264</f>
        <v>100</v>
      </c>
      <c r="I224" s="24">
        <f>'NELIOTA (p&lt;0.5)'!J264</f>
        <v>0</v>
      </c>
      <c r="K224" s="101">
        <f>'NELIOTA (p&lt;0.5)'!M264</f>
        <v>0</v>
      </c>
      <c r="L224" s="92">
        <f t="shared" si="79"/>
        <v>0</v>
      </c>
      <c r="N224" s="47">
        <v>0</v>
      </c>
      <c r="O224" s="47">
        <v>45</v>
      </c>
      <c r="P224" s="33">
        <f t="shared" si="64"/>
        <v>0.75</v>
      </c>
      <c r="Q224" s="33">
        <f t="shared" si="65"/>
        <v>0.46799999999999997</v>
      </c>
      <c r="R224" s="33">
        <f t="shared" si="73"/>
        <v>0.46799999999999997</v>
      </c>
      <c r="S224" s="33">
        <f t="shared" si="74"/>
        <v>0</v>
      </c>
      <c r="T224" s="33">
        <f t="shared" si="75"/>
        <v>0.46799999999999997</v>
      </c>
      <c r="U224" s="33">
        <f t="shared" si="76"/>
        <v>0</v>
      </c>
      <c r="V224" s="33">
        <f t="shared" si="77"/>
        <v>0.46799999999999997</v>
      </c>
      <c r="W224" s="33">
        <f t="shared" si="78"/>
        <v>0</v>
      </c>
    </row>
    <row r="225" spans="1:27" ht="20.100000000000001" customHeight="1" x14ac:dyDescent="0.25">
      <c r="A225" s="82">
        <f>'NELIOTA (p&lt;0.5)'!A265</f>
        <v>43771</v>
      </c>
      <c r="B225" s="58" t="str">
        <f>'NELIOTA (p&lt;0.5)'!B265</f>
        <v>17:50-19:35</v>
      </c>
      <c r="C225" s="102">
        <f>'NELIOTA (p&lt;0.5)'!C265</f>
        <v>0.33700000000000002</v>
      </c>
      <c r="D225" s="60" t="str">
        <f>'NELIOTA (p&lt;0.5)'!E265</f>
        <v>1 val + 1 susp</v>
      </c>
      <c r="E225" s="58" t="str">
        <f>'NELIOTA (p&lt;0.5)'!F265</f>
        <v>very good</v>
      </c>
      <c r="F225" s="58"/>
      <c r="G225" s="8">
        <f>'NELIOTA (p&lt;0.5)'!H265</f>
        <v>97</v>
      </c>
      <c r="H225" s="8">
        <f>'NELIOTA (p&lt;0.5)'!I265</f>
        <v>3</v>
      </c>
      <c r="I225" s="8">
        <f>'NELIOTA (p&lt;0.5)'!J265</f>
        <v>0</v>
      </c>
      <c r="K225" s="98">
        <f>'NELIOTA (p&lt;0.5)'!M265</f>
        <v>3396.2</v>
      </c>
      <c r="L225" s="93">
        <f t="shared" si="79"/>
        <v>0.94338888888888883</v>
      </c>
      <c r="N225" s="11">
        <v>1</v>
      </c>
      <c r="O225" s="11">
        <v>34</v>
      </c>
      <c r="P225" s="9">
        <f t="shared" si="64"/>
        <v>1.5666666666666667</v>
      </c>
      <c r="Q225" s="9">
        <f t="shared" si="65"/>
        <v>0.97760000000000002</v>
      </c>
      <c r="R225" s="9">
        <f t="shared" si="73"/>
        <v>0.97760000000000002</v>
      </c>
      <c r="S225" s="9">
        <f t="shared" si="74"/>
        <v>96.500500090925627</v>
      </c>
      <c r="T225" s="9">
        <f t="shared" si="75"/>
        <v>0.97760000000000002</v>
      </c>
      <c r="U225" s="9">
        <f t="shared" si="76"/>
        <v>0.94338888888888883</v>
      </c>
      <c r="V225" s="9">
        <f t="shared" si="77"/>
        <v>2.9328E-2</v>
      </c>
      <c r="W225" s="9">
        <f t="shared" si="78"/>
        <v>0</v>
      </c>
    </row>
    <row r="226" spans="1:27" ht="20.100000000000001" customHeight="1" x14ac:dyDescent="0.25">
      <c r="A226" s="82">
        <f>'NELIOTA (p&lt;0.5)'!A266</f>
        <v>43772</v>
      </c>
      <c r="B226" s="58" t="str">
        <f>'NELIOTA (p&lt;0.5)'!B266</f>
        <v>17:50-20:35</v>
      </c>
      <c r="C226" s="102">
        <f>'NELIOTA (p&lt;0.5)'!C266</f>
        <v>0.438</v>
      </c>
      <c r="D226" s="60" t="str">
        <f>'NELIOTA (p&lt;0.5)'!E266</f>
        <v>1 validated</v>
      </c>
      <c r="E226" s="58" t="str">
        <f>'NELIOTA (p&lt;0.5)'!F266</f>
        <v>moderate</v>
      </c>
      <c r="F226" s="58"/>
      <c r="G226" s="8">
        <f>'NELIOTA (p&lt;0.5)'!H266</f>
        <v>49</v>
      </c>
      <c r="H226" s="8">
        <f>'NELIOTA (p&lt;0.5)'!I266</f>
        <v>51</v>
      </c>
      <c r="I226" s="8">
        <f>'NELIOTA (p&lt;0.5)'!J266</f>
        <v>0</v>
      </c>
      <c r="K226" s="98">
        <f>'NELIOTA (p&lt;0.5)'!M266</f>
        <v>2975</v>
      </c>
      <c r="L226" s="93">
        <f t="shared" si="79"/>
        <v>0.82638888888888884</v>
      </c>
      <c r="N226" s="11">
        <v>2</v>
      </c>
      <c r="O226" s="11">
        <v>42</v>
      </c>
      <c r="P226" s="9">
        <f t="shared" si="64"/>
        <v>2.7</v>
      </c>
      <c r="Q226" s="9">
        <f t="shared" si="65"/>
        <v>1.6848000000000001</v>
      </c>
      <c r="R226" s="9">
        <f t="shared" si="73"/>
        <v>1.6848000000000001</v>
      </c>
      <c r="S226" s="9">
        <f t="shared" si="74"/>
        <v>49.049672892265484</v>
      </c>
      <c r="T226" s="9">
        <f t="shared" si="75"/>
        <v>1.6848000000000001</v>
      </c>
      <c r="U226" s="9">
        <f t="shared" si="76"/>
        <v>0.82638888888888884</v>
      </c>
      <c r="V226" s="9">
        <f t="shared" si="77"/>
        <v>0.85924800000000001</v>
      </c>
      <c r="W226" s="9">
        <f t="shared" si="78"/>
        <v>0</v>
      </c>
    </row>
    <row r="227" spans="1:27" ht="20.100000000000001" customHeight="1" x14ac:dyDescent="0.25">
      <c r="A227" s="97">
        <f>'NELIOTA (p&lt;0.5)'!A267</f>
        <v>43790</v>
      </c>
      <c r="B227" s="74" t="str">
        <f>'NELIOTA (p&lt;0.5)'!B267</f>
        <v>02:50-06:55</v>
      </c>
      <c r="C227" s="99">
        <f>'NELIOTA (p&lt;0.5)'!C267</f>
        <v>0.36899999999999999</v>
      </c>
      <c r="D227" s="118">
        <f>'NELIOTA (p&lt;0.5)'!E267</f>
        <v>0</v>
      </c>
      <c r="E227" s="74" t="str">
        <f>'NELIOTA (p&lt;0.5)'!F267</f>
        <v>Cloudiness</v>
      </c>
      <c r="F227" s="74"/>
      <c r="G227" s="8">
        <f>'NELIOTA (p&lt;0.5)'!H267</f>
        <v>0</v>
      </c>
      <c r="H227" s="8">
        <f>'NELIOTA (p&lt;0.5)'!I267</f>
        <v>100</v>
      </c>
      <c r="I227" s="8">
        <f>'NELIOTA (p&lt;0.5)'!J267</f>
        <v>0</v>
      </c>
      <c r="K227" s="98">
        <f>'NELIOTA (p&lt;0.5)'!M267</f>
        <v>0</v>
      </c>
      <c r="L227" s="93">
        <f t="shared" si="79"/>
        <v>0</v>
      </c>
      <c r="N227" s="11">
        <v>4</v>
      </c>
      <c r="O227" s="11">
        <v>5</v>
      </c>
      <c r="P227" s="9">
        <f t="shared" si="64"/>
        <v>4.083333333333333</v>
      </c>
      <c r="Q227" s="9">
        <f t="shared" si="65"/>
        <v>2.5479999999999996</v>
      </c>
      <c r="R227" s="9">
        <f t="shared" si="73"/>
        <v>2.5479999999999996</v>
      </c>
      <c r="S227" s="9">
        <f t="shared" si="74"/>
        <v>0</v>
      </c>
      <c r="T227" s="9">
        <f t="shared" si="75"/>
        <v>2.5479999999999996</v>
      </c>
      <c r="U227" s="9">
        <f t="shared" si="76"/>
        <v>0</v>
      </c>
      <c r="V227" s="9">
        <f t="shared" si="77"/>
        <v>2.5479999999999996</v>
      </c>
      <c r="W227" s="9">
        <f t="shared" si="78"/>
        <v>0</v>
      </c>
    </row>
    <row r="228" spans="1:27" ht="20.100000000000001" customHeight="1" x14ac:dyDescent="0.25">
      <c r="A228" s="97">
        <f>'NELIOTA (p&lt;0.5)'!A268</f>
        <v>43791</v>
      </c>
      <c r="B228" s="74" t="str">
        <f>'NELIOTA (p&lt;0.5)'!B268</f>
        <v>04:00-06:55</v>
      </c>
      <c r="C228" s="99">
        <f>'NELIOTA (p&lt;0.5)'!C268</f>
        <v>0.25600000000000001</v>
      </c>
      <c r="D228" s="118">
        <f>'NELIOTA (p&lt;0.5)'!E268</f>
        <v>0</v>
      </c>
      <c r="E228" s="74" t="str">
        <f>'NELIOTA (p&lt;0.5)'!F268</f>
        <v>Cloudiness</v>
      </c>
      <c r="F228" s="74"/>
      <c r="G228" s="8">
        <f>'NELIOTA (p&lt;0.5)'!H268</f>
        <v>0</v>
      </c>
      <c r="H228" s="8">
        <f>'NELIOTA (p&lt;0.5)'!I268</f>
        <v>100</v>
      </c>
      <c r="I228" s="8">
        <f>'NELIOTA (p&lt;0.5)'!J268</f>
        <v>0</v>
      </c>
      <c r="K228" s="98">
        <f>'NELIOTA (p&lt;0.5)'!M268</f>
        <v>0</v>
      </c>
      <c r="L228" s="93">
        <f t="shared" si="79"/>
        <v>0</v>
      </c>
      <c r="N228" s="11">
        <v>2</v>
      </c>
      <c r="O228" s="11">
        <v>55</v>
      </c>
      <c r="P228" s="9">
        <f t="shared" si="64"/>
        <v>2.9166666666666665</v>
      </c>
      <c r="Q228" s="9">
        <f t="shared" si="65"/>
        <v>1.8199999999999998</v>
      </c>
      <c r="R228" s="9">
        <f t="shared" si="73"/>
        <v>1.8199999999999998</v>
      </c>
      <c r="S228" s="9">
        <f t="shared" si="74"/>
        <v>0</v>
      </c>
      <c r="T228" s="9">
        <f t="shared" si="75"/>
        <v>1.8199999999999998</v>
      </c>
      <c r="U228" s="9">
        <f t="shared" si="76"/>
        <v>0</v>
      </c>
      <c r="V228" s="9">
        <f t="shared" si="77"/>
        <v>1.8199999999999998</v>
      </c>
      <c r="W228" s="9">
        <f t="shared" si="78"/>
        <v>0</v>
      </c>
    </row>
    <row r="229" spans="1:27" ht="20.100000000000001" customHeight="1" x14ac:dyDescent="0.25">
      <c r="A229" s="97">
        <f>'NELIOTA (p&lt;0.5)'!A269</f>
        <v>43792</v>
      </c>
      <c r="B229" s="74" t="str">
        <f>'NELIOTA (p&lt;0.5)'!B269</f>
        <v>05:10-06:55</v>
      </c>
      <c r="C229" s="99">
        <f>'NELIOTA (p&lt;0.5)'!C269</f>
        <v>0.158</v>
      </c>
      <c r="D229" s="118">
        <f>'NELIOTA (p&lt;0.5)'!E269</f>
        <v>0</v>
      </c>
      <c r="E229" s="74" t="str">
        <f>'NELIOTA (p&lt;0.5)'!F269</f>
        <v>Cloudiness</v>
      </c>
      <c r="F229" s="74"/>
      <c r="G229" s="8">
        <f>'NELIOTA (p&lt;0.5)'!H269</f>
        <v>0</v>
      </c>
      <c r="H229" s="8">
        <f>'NELIOTA (p&lt;0.5)'!I269</f>
        <v>100</v>
      </c>
      <c r="I229" s="8">
        <f>'NELIOTA (p&lt;0.5)'!J269</f>
        <v>0</v>
      </c>
      <c r="K229" s="98">
        <f>'NELIOTA (p&lt;0.5)'!M269</f>
        <v>0</v>
      </c>
      <c r="L229" s="93">
        <f t="shared" si="79"/>
        <v>0</v>
      </c>
      <c r="N229" s="11">
        <v>1</v>
      </c>
      <c r="O229" s="11">
        <v>45</v>
      </c>
      <c r="P229" s="9">
        <f t="shared" si="64"/>
        <v>1.75</v>
      </c>
      <c r="Q229" s="9">
        <f t="shared" si="65"/>
        <v>1.0920000000000001</v>
      </c>
      <c r="R229" s="9">
        <f t="shared" si="73"/>
        <v>1.0920000000000001</v>
      </c>
      <c r="S229" s="9">
        <f t="shared" si="74"/>
        <v>0</v>
      </c>
      <c r="T229" s="9">
        <f t="shared" si="75"/>
        <v>1.0920000000000001</v>
      </c>
      <c r="U229" s="9">
        <f t="shared" si="76"/>
        <v>0</v>
      </c>
      <c r="V229" s="9">
        <f t="shared" si="77"/>
        <v>1.0920000000000001</v>
      </c>
      <c r="W229" s="9">
        <f t="shared" si="78"/>
        <v>0</v>
      </c>
    </row>
    <row r="230" spans="1:27" ht="20.100000000000001" customHeight="1" x14ac:dyDescent="0.25">
      <c r="A230" s="97">
        <f>'NELIOTA (p&lt;0.5)'!A270</f>
        <v>43793</v>
      </c>
      <c r="B230" s="74" t="str">
        <f>'NELIOTA (p&lt;0.5)'!B270</f>
        <v>06:25-06:55</v>
      </c>
      <c r="C230" s="99">
        <f>'NELIOTA (p&lt;0.5)'!C270</f>
        <v>7.9000000000000001E-2</v>
      </c>
      <c r="D230" s="118">
        <f>'NELIOTA (p&lt;0.5)'!E270</f>
        <v>0</v>
      </c>
      <c r="E230" s="74" t="str">
        <f>'NELIOTA (p&lt;0.5)'!F270</f>
        <v>Cloudiness</v>
      </c>
      <c r="F230" s="74"/>
      <c r="G230" s="8">
        <f>'NELIOTA (p&lt;0.5)'!H270</f>
        <v>0</v>
      </c>
      <c r="H230" s="8">
        <f>'NELIOTA (p&lt;0.5)'!I270</f>
        <v>100</v>
      </c>
      <c r="I230" s="8">
        <f>'NELIOTA (p&lt;0.5)'!J270</f>
        <v>0</v>
      </c>
      <c r="K230" s="98">
        <f>'NELIOTA (p&lt;0.5)'!M270</f>
        <v>0</v>
      </c>
      <c r="L230" s="93">
        <f t="shared" si="79"/>
        <v>0</v>
      </c>
      <c r="N230" s="11">
        <v>0</v>
      </c>
      <c r="O230" s="11">
        <v>30</v>
      </c>
      <c r="P230" s="9">
        <f t="shared" si="64"/>
        <v>0.5</v>
      </c>
      <c r="Q230" s="9">
        <f t="shared" si="65"/>
        <v>0.312</v>
      </c>
      <c r="R230" s="9">
        <f t="shared" si="73"/>
        <v>0.312</v>
      </c>
      <c r="S230" s="9">
        <f t="shared" si="74"/>
        <v>0</v>
      </c>
      <c r="T230" s="9">
        <f t="shared" si="75"/>
        <v>0.312</v>
      </c>
      <c r="U230" s="9">
        <f t="shared" si="76"/>
        <v>0</v>
      </c>
      <c r="V230" s="9">
        <f t="shared" si="77"/>
        <v>0.312</v>
      </c>
      <c r="W230" s="9">
        <f t="shared" si="78"/>
        <v>0</v>
      </c>
    </row>
    <row r="231" spans="1:27" ht="20.100000000000001" customHeight="1" x14ac:dyDescent="0.25">
      <c r="A231" s="82">
        <f>'NELIOTA (p&lt;0.5)'!A271</f>
        <v>43799</v>
      </c>
      <c r="B231" s="58" t="str">
        <f>'NELIOTA (p&lt;0.5)'!B271</f>
        <v>17:30-18:20</v>
      </c>
      <c r="C231" s="102">
        <f>'NELIOTA (p&lt;0.5)'!C271</f>
        <v>0.17799999999999999</v>
      </c>
      <c r="D231" s="60">
        <f>'NELIOTA (p&lt;0.5)'!E271</f>
        <v>0</v>
      </c>
      <c r="E231" s="58" t="str">
        <f>'NELIOTA (p&lt;0.5)'!F271</f>
        <v>Cloudiness</v>
      </c>
      <c r="F231" s="58"/>
      <c r="G231" s="8">
        <f>'NELIOTA (p&lt;0.5)'!H271</f>
        <v>0</v>
      </c>
      <c r="H231" s="8">
        <f>'NELIOTA (p&lt;0.5)'!I271</f>
        <v>100</v>
      </c>
      <c r="I231" s="8">
        <f>'NELIOTA (p&lt;0.5)'!J271</f>
        <v>0</v>
      </c>
      <c r="K231" s="98">
        <f>'NELIOTA (p&lt;0.5)'!M271</f>
        <v>0</v>
      </c>
      <c r="L231" s="93">
        <f t="shared" si="79"/>
        <v>0</v>
      </c>
      <c r="N231" s="11">
        <v>0</v>
      </c>
      <c r="O231" s="11">
        <v>50</v>
      </c>
      <c r="P231" s="9">
        <f t="shared" si="64"/>
        <v>0.83333333333333337</v>
      </c>
      <c r="Q231" s="9">
        <f t="shared" si="65"/>
        <v>0.52</v>
      </c>
      <c r="R231" s="9">
        <f t="shared" si="73"/>
        <v>0.52</v>
      </c>
      <c r="S231" s="9">
        <f t="shared" si="74"/>
        <v>0</v>
      </c>
      <c r="T231" s="9">
        <f t="shared" si="75"/>
        <v>0.52</v>
      </c>
      <c r="U231" s="9">
        <f t="shared" si="76"/>
        <v>0</v>
      </c>
      <c r="V231" s="9">
        <f t="shared" si="77"/>
        <v>0.52</v>
      </c>
      <c r="W231" s="9">
        <f t="shared" si="78"/>
        <v>0</v>
      </c>
      <c r="X231" s="9">
        <f>SUM(U224:U231)</f>
        <v>1.7697777777777777</v>
      </c>
      <c r="Y231" s="9">
        <f>100*X231/SUM(T224:T231)</f>
        <v>18.782664478028714</v>
      </c>
      <c r="Z231" s="9">
        <f>100*SUM(V224:V231)/SUM(T224:T231)</f>
        <v>81.174392935982354</v>
      </c>
      <c r="AA231" s="9">
        <f>100*SUM(W224:W231)/SUM(T224:T231)</f>
        <v>0</v>
      </c>
    </row>
    <row r="232" spans="1:27" s="48" customFormat="1" ht="20.100000000000001" customHeight="1" x14ac:dyDescent="0.25">
      <c r="A232" s="94">
        <f>'NELIOTA (p&lt;0.5)'!A272</f>
        <v>43800</v>
      </c>
      <c r="B232" s="62" t="str">
        <f>'NELIOTA (p&lt;0.5)'!B272</f>
        <v>17:30-19:25</v>
      </c>
      <c r="C232" s="100">
        <f>'NELIOTA (p&lt;0.5)'!C272</f>
        <v>0.26500000000000001</v>
      </c>
      <c r="D232" s="64" t="str">
        <f>'NELIOTA (p&lt;0.5)'!E272</f>
        <v>4 validated</v>
      </c>
      <c r="E232" s="62" t="str">
        <f>'NELIOTA (p&lt;0.5)'!F272</f>
        <v>Very good</v>
      </c>
      <c r="F232" s="62"/>
      <c r="G232" s="24">
        <f>'NELIOTA (p&lt;0.5)'!H272</f>
        <v>100</v>
      </c>
      <c r="H232" s="24">
        <f>'NELIOTA (p&lt;0.5)'!I272</f>
        <v>0</v>
      </c>
      <c r="I232" s="24">
        <f>'NELIOTA (p&lt;0.5)'!J272</f>
        <v>0</v>
      </c>
      <c r="K232" s="101">
        <f>'NELIOTA (p&lt;0.5)'!M272</f>
        <v>4132.8</v>
      </c>
      <c r="L232" s="92">
        <f t="shared" si="79"/>
        <v>1.1480000000000001</v>
      </c>
      <c r="N232" s="47">
        <v>1</v>
      </c>
      <c r="O232" s="47">
        <v>55</v>
      </c>
      <c r="P232" s="33">
        <f t="shared" si="64"/>
        <v>1.9166666666666665</v>
      </c>
      <c r="Q232" s="33">
        <f t="shared" si="65"/>
        <v>1.196</v>
      </c>
      <c r="R232" s="33">
        <f t="shared" si="73"/>
        <v>1.1480000000000001</v>
      </c>
      <c r="S232" s="33">
        <f t="shared" si="74"/>
        <v>95.986622073578616</v>
      </c>
      <c r="T232" s="33">
        <f t="shared" si="75"/>
        <v>1.1480000000000001</v>
      </c>
      <c r="U232" s="33">
        <f t="shared" si="76"/>
        <v>1.1480000000000001</v>
      </c>
      <c r="V232" s="33">
        <f t="shared" si="77"/>
        <v>0</v>
      </c>
      <c r="W232" s="33">
        <f t="shared" si="78"/>
        <v>0</v>
      </c>
    </row>
    <row r="233" spans="1:27" ht="20.100000000000001" customHeight="1" x14ac:dyDescent="0.25">
      <c r="A233" s="82">
        <f>'NELIOTA (p&lt;0.5)'!A273</f>
        <v>43801</v>
      </c>
      <c r="B233" s="58" t="str">
        <f>'NELIOTA (p&lt;0.5)'!B273</f>
        <v>17:30-20:30</v>
      </c>
      <c r="C233" s="102">
        <f>'NELIOTA (p&lt;0.5)'!C273</f>
        <v>0.35899999999999999</v>
      </c>
      <c r="D233" s="60">
        <f>'NELIOTA (p&lt;0.5)'!E273</f>
        <v>0</v>
      </c>
      <c r="E233" s="58" t="str">
        <f>'NELIOTA (p&lt;0.5)'!F273</f>
        <v>Cloudiness</v>
      </c>
      <c r="F233" s="58"/>
      <c r="G233" s="8">
        <f>'NELIOTA (p&lt;0.5)'!H273</f>
        <v>0</v>
      </c>
      <c r="H233" s="8">
        <f>'NELIOTA (p&lt;0.5)'!I273</f>
        <v>100</v>
      </c>
      <c r="I233" s="8">
        <f>'NELIOTA (p&lt;0.5)'!J273</f>
        <v>0</v>
      </c>
      <c r="K233" s="98">
        <f>'NELIOTA (p&lt;0.5)'!M273</f>
        <v>0</v>
      </c>
      <c r="L233" s="93">
        <f t="shared" si="79"/>
        <v>0</v>
      </c>
      <c r="N233" s="11">
        <v>3</v>
      </c>
      <c r="O233" s="11">
        <v>0</v>
      </c>
      <c r="P233" s="9">
        <f t="shared" si="64"/>
        <v>3</v>
      </c>
      <c r="Q233" s="9">
        <f t="shared" si="65"/>
        <v>1.8719999999999999</v>
      </c>
      <c r="R233" s="9">
        <f t="shared" si="73"/>
        <v>1.8719999999999999</v>
      </c>
      <c r="S233" s="9">
        <f t="shared" si="74"/>
        <v>0</v>
      </c>
      <c r="T233" s="9">
        <f t="shared" si="75"/>
        <v>1.8719999999999999</v>
      </c>
      <c r="U233" s="9">
        <f t="shared" si="76"/>
        <v>0</v>
      </c>
      <c r="V233" s="9">
        <f t="shared" si="77"/>
        <v>1.8719999999999999</v>
      </c>
      <c r="W233" s="9">
        <f t="shared" si="78"/>
        <v>0</v>
      </c>
    </row>
    <row r="234" spans="1:27" ht="20.100000000000001" customHeight="1" x14ac:dyDescent="0.25">
      <c r="A234" s="97">
        <f>'NELIOTA (p&lt;0.5)'!A274</f>
        <v>43819</v>
      </c>
      <c r="B234" s="74" t="str">
        <f>'NELIOTA (p&lt;0.5)'!B274</f>
        <v>03:00-07:20</v>
      </c>
      <c r="C234" s="99">
        <f>'NELIOTA (p&lt;0.5)'!C274</f>
        <v>0.40600000000000003</v>
      </c>
      <c r="D234" s="118" t="str">
        <f>'NELIOTA (p&lt;0.5)'!E274</f>
        <v>1 validated</v>
      </c>
      <c r="E234" s="74" t="str">
        <f>'NELIOTA (p&lt;0.5)'!F274</f>
        <v>good</v>
      </c>
      <c r="F234" s="74"/>
      <c r="G234" s="8">
        <f>'NELIOTA (p&lt;0.5)'!H274</f>
        <v>22</v>
      </c>
      <c r="H234" s="8">
        <f>'NELIOTA (p&lt;0.5)'!I274</f>
        <v>78</v>
      </c>
      <c r="I234" s="8">
        <f>'NELIOTA (p&lt;0.5)'!J274</f>
        <v>0</v>
      </c>
      <c r="K234" s="98">
        <f>'NELIOTA (p&lt;0.5)'!M274</f>
        <v>2490.0700000000002</v>
      </c>
      <c r="L234" s="93">
        <f t="shared" si="79"/>
        <v>0.69168611111111111</v>
      </c>
      <c r="N234" s="11">
        <v>4</v>
      </c>
      <c r="O234" s="11">
        <v>20</v>
      </c>
      <c r="P234" s="9">
        <f t="shared" si="64"/>
        <v>4.333333333333333</v>
      </c>
      <c r="Q234" s="9">
        <f t="shared" si="65"/>
        <v>2.7039999999999997</v>
      </c>
      <c r="R234" s="9">
        <f t="shared" si="73"/>
        <v>2.7039999999999997</v>
      </c>
      <c r="S234" s="9">
        <f t="shared" si="74"/>
        <v>25.580107659434582</v>
      </c>
      <c r="T234" s="9">
        <f t="shared" si="75"/>
        <v>2.7039999999999997</v>
      </c>
      <c r="U234" s="9">
        <f t="shared" si="76"/>
        <v>0.69168611111111111</v>
      </c>
      <c r="V234" s="9">
        <f t="shared" si="77"/>
        <v>2.1091199999999999</v>
      </c>
      <c r="W234" s="9">
        <f t="shared" si="78"/>
        <v>0</v>
      </c>
    </row>
    <row r="235" spans="1:27" ht="20.100000000000001" customHeight="1" x14ac:dyDescent="0.25">
      <c r="A235" s="97">
        <f>'NELIOTA (p&lt;0.5)'!A275</f>
        <v>43820</v>
      </c>
      <c r="B235" s="74" t="str">
        <f>'NELIOTA (p&lt;0.5)'!B275</f>
        <v>04:10-07:20</v>
      </c>
      <c r="C235" s="99">
        <f>'NELIOTA (p&lt;0.5)'!C275</f>
        <v>0.29199999999999998</v>
      </c>
      <c r="D235" s="118">
        <f>'NELIOTA (p&lt;0.5)'!E275</f>
        <v>0</v>
      </c>
      <c r="E235" s="74" t="str">
        <f>'NELIOTA (p&lt;0.5)'!F275</f>
        <v>Cloudiness</v>
      </c>
      <c r="F235" s="74"/>
      <c r="G235" s="8">
        <f>'NELIOTA (p&lt;0.5)'!H275</f>
        <v>0</v>
      </c>
      <c r="H235" s="8">
        <f>'NELIOTA (p&lt;0.5)'!I275</f>
        <v>100</v>
      </c>
      <c r="I235" s="8">
        <f>'NELIOTA (p&lt;0.5)'!J275</f>
        <v>0</v>
      </c>
      <c r="K235" s="98">
        <f>'NELIOTA (p&lt;0.5)'!M275</f>
        <v>0</v>
      </c>
      <c r="L235" s="93">
        <f t="shared" si="79"/>
        <v>0</v>
      </c>
      <c r="N235" s="11">
        <v>3</v>
      </c>
      <c r="O235" s="11">
        <v>10</v>
      </c>
      <c r="P235" s="9">
        <f t="shared" si="64"/>
        <v>3.1666666666666665</v>
      </c>
      <c r="Q235" s="9">
        <f t="shared" si="65"/>
        <v>1.976</v>
      </c>
      <c r="R235" s="9">
        <f t="shared" si="73"/>
        <v>1.976</v>
      </c>
      <c r="S235" s="9">
        <f t="shared" si="74"/>
        <v>0</v>
      </c>
      <c r="T235" s="9">
        <f t="shared" si="75"/>
        <v>1.976</v>
      </c>
      <c r="U235" s="9">
        <f t="shared" si="76"/>
        <v>0</v>
      </c>
      <c r="V235" s="9">
        <f t="shared" si="77"/>
        <v>1.976</v>
      </c>
      <c r="W235" s="9">
        <f t="shared" si="78"/>
        <v>0</v>
      </c>
    </row>
    <row r="236" spans="1:27" ht="20.100000000000001" customHeight="1" x14ac:dyDescent="0.25">
      <c r="A236" s="97">
        <f>'NELIOTA (p&lt;0.5)'!A276</f>
        <v>43821</v>
      </c>
      <c r="B236" s="74" t="str">
        <f>'NELIOTA (p&lt;0.5)'!B276</f>
        <v>05:25-07:20</v>
      </c>
      <c r="C236" s="99">
        <f>'NELIOTA (p&lt;0.5)'!C276</f>
        <v>0.19</v>
      </c>
      <c r="D236" s="118">
        <f>'NELIOTA (p&lt;0.5)'!E276</f>
        <v>0</v>
      </c>
      <c r="E236" s="74" t="str">
        <f>'NELIOTA (p&lt;0.5)'!F276</f>
        <v>Cloudiness</v>
      </c>
      <c r="F236" s="74"/>
      <c r="G236" s="8">
        <f>'NELIOTA (p&lt;0.5)'!H276</f>
        <v>0</v>
      </c>
      <c r="H236" s="8">
        <f>'NELIOTA (p&lt;0.5)'!I276</f>
        <v>100</v>
      </c>
      <c r="I236" s="8">
        <f>'NELIOTA (p&lt;0.5)'!J276</f>
        <v>0</v>
      </c>
      <c r="K236" s="98">
        <f>'NELIOTA (p&lt;0.5)'!M276</f>
        <v>0</v>
      </c>
      <c r="L236" s="93">
        <f t="shared" si="79"/>
        <v>0</v>
      </c>
      <c r="N236" s="11">
        <v>1</v>
      </c>
      <c r="O236" s="11">
        <v>55</v>
      </c>
      <c r="P236" s="9">
        <f t="shared" si="64"/>
        <v>1.9166666666666665</v>
      </c>
      <c r="Q236" s="9">
        <f t="shared" si="65"/>
        <v>1.196</v>
      </c>
      <c r="R236" s="9">
        <f t="shared" si="73"/>
        <v>1.196</v>
      </c>
      <c r="S236" s="9">
        <f t="shared" si="74"/>
        <v>0</v>
      </c>
      <c r="T236" s="9">
        <f t="shared" si="75"/>
        <v>1.196</v>
      </c>
      <c r="U236" s="9">
        <f t="shared" si="76"/>
        <v>0</v>
      </c>
      <c r="V236" s="9">
        <f t="shared" si="77"/>
        <v>1.196</v>
      </c>
      <c r="W236" s="9">
        <f t="shared" si="78"/>
        <v>0</v>
      </c>
    </row>
    <row r="237" spans="1:27" ht="20.100000000000001" customHeight="1" x14ac:dyDescent="0.25">
      <c r="A237" s="97">
        <f>'NELIOTA (p&lt;0.5)'!A277</f>
        <v>43822</v>
      </c>
      <c r="B237" s="74" t="str">
        <f>'NELIOTA (p&lt;0.5)'!B277</f>
        <v>06:40-07:20</v>
      </c>
      <c r="C237" s="99">
        <f>'NELIOTA (p&lt;0.5)'!C277</f>
        <v>0.106</v>
      </c>
      <c r="D237" s="118">
        <f>'NELIOTA (p&lt;0.5)'!E277</f>
        <v>0</v>
      </c>
      <c r="E237" s="74" t="str">
        <f>'NELIOTA (p&lt;0.5)'!F277</f>
        <v>Cloudiness</v>
      </c>
      <c r="F237" s="74"/>
      <c r="G237" s="8">
        <f>'NELIOTA (p&lt;0.5)'!H277</f>
        <v>0</v>
      </c>
      <c r="H237" s="8">
        <f>'NELIOTA (p&lt;0.5)'!I277</f>
        <v>100</v>
      </c>
      <c r="I237" s="8">
        <f>'NELIOTA (p&lt;0.5)'!J277</f>
        <v>0</v>
      </c>
      <c r="K237" s="98">
        <f>'NELIOTA (p&lt;0.5)'!M277</f>
        <v>0</v>
      </c>
      <c r="L237" s="93">
        <f t="shared" si="79"/>
        <v>0</v>
      </c>
      <c r="N237" s="11">
        <v>0</v>
      </c>
      <c r="O237" s="11">
        <v>40</v>
      </c>
      <c r="P237" s="9">
        <f t="shared" si="64"/>
        <v>0.66666666666666663</v>
      </c>
      <c r="Q237" s="9">
        <f t="shared" si="65"/>
        <v>0.41599999999999998</v>
      </c>
      <c r="R237" s="9">
        <f t="shared" si="73"/>
        <v>0.41599999999999998</v>
      </c>
      <c r="S237" s="9">
        <f t="shared" si="74"/>
        <v>0</v>
      </c>
      <c r="T237" s="9">
        <f t="shared" si="75"/>
        <v>0.41599999999999998</v>
      </c>
      <c r="U237" s="9">
        <f t="shared" si="76"/>
        <v>0</v>
      </c>
      <c r="V237" s="9">
        <f t="shared" si="77"/>
        <v>0.41599999999999998</v>
      </c>
      <c r="W237" s="9">
        <f t="shared" si="78"/>
        <v>0</v>
      </c>
    </row>
    <row r="238" spans="1:27" ht="20.100000000000001" customHeight="1" x14ac:dyDescent="0.25">
      <c r="A238" s="82">
        <f>'NELIOTA (p&lt;0.5)'!A278</f>
        <v>43828</v>
      </c>
      <c r="B238" s="58" t="str">
        <f>'NELIOTA (p&lt;0.5)'!B278</f>
        <v>17:40-18:10</v>
      </c>
      <c r="C238" s="102">
        <f>'NELIOTA (p&lt;0.5)'!C278</f>
        <v>0.12</v>
      </c>
      <c r="D238" s="60">
        <f>'NELIOTA (p&lt;0.5)'!E278</f>
        <v>0</v>
      </c>
      <c r="E238" s="58" t="str">
        <f>'NELIOTA (p&lt;0.5)'!F278</f>
        <v>Cloudiness, rain, snowfall</v>
      </c>
      <c r="F238" s="58"/>
      <c r="G238" s="8">
        <f>'NELIOTA (p&lt;0.5)'!H278</f>
        <v>0</v>
      </c>
      <c r="H238" s="8">
        <f>'NELIOTA (p&lt;0.5)'!I278</f>
        <v>100</v>
      </c>
      <c r="I238" s="8">
        <f>'NELIOTA (p&lt;0.5)'!J278</f>
        <v>0</v>
      </c>
      <c r="K238" s="98">
        <f>'NELIOTA (p&lt;0.5)'!M278</f>
        <v>0</v>
      </c>
      <c r="L238" s="93">
        <f t="shared" si="79"/>
        <v>0</v>
      </c>
      <c r="N238" s="11">
        <v>0</v>
      </c>
      <c r="O238" s="11">
        <v>30</v>
      </c>
      <c r="P238" s="9">
        <f t="shared" si="64"/>
        <v>0.5</v>
      </c>
      <c r="Q238" s="9">
        <f t="shared" si="65"/>
        <v>0.312</v>
      </c>
      <c r="R238" s="9">
        <f t="shared" si="73"/>
        <v>0.312</v>
      </c>
      <c r="S238" s="9">
        <f t="shared" si="74"/>
        <v>0</v>
      </c>
      <c r="T238" s="9">
        <f t="shared" si="75"/>
        <v>0.312</v>
      </c>
      <c r="U238" s="9">
        <f t="shared" si="76"/>
        <v>0</v>
      </c>
      <c r="V238" s="9">
        <f t="shared" si="77"/>
        <v>0.312</v>
      </c>
      <c r="W238" s="9">
        <f t="shared" si="78"/>
        <v>0</v>
      </c>
    </row>
    <row r="239" spans="1:27" ht="20.100000000000001" customHeight="1" x14ac:dyDescent="0.25">
      <c r="A239" s="82">
        <f>'NELIOTA (p&lt;0.5)'!A279</f>
        <v>43829</v>
      </c>
      <c r="B239" s="58" t="str">
        <f>'NELIOTA (p&lt;0.5)'!B279</f>
        <v>17:40-19:20</v>
      </c>
      <c r="C239" s="102">
        <f>'NELIOTA (p&lt;0.5)'!C279</f>
        <v>0.19400000000000001</v>
      </c>
      <c r="D239" s="60">
        <f>'NELIOTA (p&lt;0.5)'!E279</f>
        <v>0</v>
      </c>
      <c r="E239" s="58" t="str">
        <f>'NELIOTA (p&lt;0.5)'!F279</f>
        <v>Cloudiness, rain, snowfall</v>
      </c>
      <c r="F239" s="58"/>
      <c r="G239" s="8">
        <f>'NELIOTA (p&lt;0.5)'!H279</f>
        <v>0</v>
      </c>
      <c r="H239" s="8">
        <f>'NELIOTA (p&lt;0.5)'!I279</f>
        <v>100</v>
      </c>
      <c r="I239" s="8">
        <f>'NELIOTA (p&lt;0.5)'!J279</f>
        <v>0</v>
      </c>
      <c r="K239" s="98">
        <f>'NELIOTA (p&lt;0.5)'!M279</f>
        <v>0</v>
      </c>
      <c r="L239" s="93">
        <f t="shared" si="79"/>
        <v>0</v>
      </c>
      <c r="N239" s="11">
        <v>1</v>
      </c>
      <c r="O239" s="11">
        <v>40</v>
      </c>
      <c r="P239" s="9">
        <f t="shared" si="64"/>
        <v>1.6666666666666665</v>
      </c>
      <c r="Q239" s="9">
        <f t="shared" si="65"/>
        <v>1.0399999999999998</v>
      </c>
      <c r="R239" s="9">
        <f t="shared" si="73"/>
        <v>1.0399999999999998</v>
      </c>
      <c r="S239" s="9">
        <f t="shared" si="74"/>
        <v>0</v>
      </c>
      <c r="T239" s="9">
        <f t="shared" si="75"/>
        <v>1.0399999999999998</v>
      </c>
      <c r="U239" s="9">
        <f t="shared" si="76"/>
        <v>0</v>
      </c>
      <c r="V239" s="9">
        <f t="shared" si="77"/>
        <v>1.0399999999999998</v>
      </c>
      <c r="W239" s="9">
        <f t="shared" si="78"/>
        <v>0</v>
      </c>
    </row>
    <row r="240" spans="1:27" ht="20.100000000000001" customHeight="1" x14ac:dyDescent="0.25">
      <c r="A240" s="82">
        <f>'NELIOTA (p&lt;0.5)'!A280</f>
        <v>43830</v>
      </c>
      <c r="B240" s="58" t="str">
        <f>'NELIOTA (p&lt;0.5)'!B280</f>
        <v>17:40-20:25</v>
      </c>
      <c r="C240" s="102">
        <f>'NELIOTA (p&lt;0.5)'!C280</f>
        <v>0.27900000000000003</v>
      </c>
      <c r="D240" s="60">
        <f>'NELIOTA (p&lt;0.5)'!E280</f>
        <v>0</v>
      </c>
      <c r="E240" s="58" t="str">
        <f>'NELIOTA (p&lt;0.5)'!F280</f>
        <v>Very good</v>
      </c>
      <c r="F240" s="58"/>
      <c r="G240" s="8">
        <f>'NELIOTA (p&lt;0.5)'!H280</f>
        <v>100</v>
      </c>
      <c r="H240" s="8">
        <f>'NELIOTA (p&lt;0.5)'!I280</f>
        <v>0</v>
      </c>
      <c r="I240" s="8">
        <f>'NELIOTA (p&lt;0.5)'!J280</f>
        <v>0</v>
      </c>
      <c r="K240" s="98">
        <f>'NELIOTA (p&lt;0.5)'!M280</f>
        <v>5838.16</v>
      </c>
      <c r="L240" s="93">
        <f t="shared" si="79"/>
        <v>1.6217111111111111</v>
      </c>
      <c r="N240" s="11">
        <v>2</v>
      </c>
      <c r="O240" s="11">
        <v>35.94</v>
      </c>
      <c r="P240" s="9">
        <f t="shared" si="64"/>
        <v>2.5990000000000002</v>
      </c>
      <c r="Q240" s="9">
        <f t="shared" si="65"/>
        <v>1.6217760000000001</v>
      </c>
      <c r="R240" s="9">
        <f t="shared" si="73"/>
        <v>1.6217111111111111</v>
      </c>
      <c r="S240" s="9">
        <f t="shared" si="74"/>
        <v>99.995998899423284</v>
      </c>
      <c r="T240" s="9">
        <f t="shared" si="75"/>
        <v>1.6217111111111111</v>
      </c>
      <c r="U240" s="9">
        <f t="shared" si="76"/>
        <v>1.6217111111111111</v>
      </c>
      <c r="V240" s="9">
        <f t="shared" si="77"/>
        <v>0</v>
      </c>
      <c r="W240" s="9">
        <f t="shared" si="78"/>
        <v>0</v>
      </c>
      <c r="X240" s="9">
        <f>SUM(U232:U240)</f>
        <v>3.4613972222222227</v>
      </c>
      <c r="Y240" s="9">
        <f>100*X240/SUM(T232:T240)</f>
        <v>28.174170716839981</v>
      </c>
      <c r="Z240" s="9">
        <f>100*SUM(V232:V240)/SUM(T232:T240)</f>
        <v>72.613786205112717</v>
      </c>
      <c r="AA240" s="9">
        <f>100*SUM(W232:W240)/SUM(T232:T240)</f>
        <v>0</v>
      </c>
    </row>
    <row r="241" spans="1:27" s="48" customFormat="1" ht="20.100000000000001" customHeight="1" x14ac:dyDescent="0.25">
      <c r="A241" s="94">
        <f>'NELIOTA (p&lt;0.5)'!A282</f>
        <v>43831</v>
      </c>
      <c r="B241" s="62" t="str">
        <f>'NELIOTA (p&lt;0.5)'!B282</f>
        <v>17:40-21:25</v>
      </c>
      <c r="C241" s="63">
        <f>'NELIOTA (p&lt;0.5)'!C282</f>
        <v>0.371</v>
      </c>
      <c r="D241" s="64">
        <f>'NELIOTA (p&lt;0.5)'!E282</f>
        <v>0</v>
      </c>
      <c r="E241" s="62" t="str">
        <f>'NELIOTA (p&lt;0.5)'!F282</f>
        <v>Cloudiness, rain, snowfall</v>
      </c>
      <c r="G241" s="24">
        <f>'NELIOTA (p&lt;0.5)'!H282</f>
        <v>0</v>
      </c>
      <c r="H241" s="24">
        <f>'NELIOTA (p&lt;0.5)'!I282</f>
        <v>100</v>
      </c>
      <c r="I241" s="24">
        <f>'NELIOTA (p&lt;0.5)'!J282</f>
        <v>0</v>
      </c>
      <c r="K241" s="101">
        <f>'NELIOTA (p&lt;0.5)'!M281</f>
        <v>0</v>
      </c>
      <c r="L241" s="92">
        <f t="shared" si="79"/>
        <v>0</v>
      </c>
      <c r="N241" s="47">
        <v>3</v>
      </c>
      <c r="O241" s="47">
        <v>45</v>
      </c>
      <c r="P241" s="33">
        <f t="shared" si="64"/>
        <v>3.75</v>
      </c>
      <c r="Q241" s="33">
        <f t="shared" si="65"/>
        <v>2.34</v>
      </c>
      <c r="R241" s="33">
        <f t="shared" si="73"/>
        <v>2.34</v>
      </c>
      <c r="S241" s="33">
        <f t="shared" si="74"/>
        <v>0</v>
      </c>
      <c r="T241" s="33">
        <f t="shared" si="75"/>
        <v>2.34</v>
      </c>
      <c r="U241" s="33">
        <f t="shared" si="76"/>
        <v>0</v>
      </c>
      <c r="V241" s="33">
        <f t="shared" si="77"/>
        <v>2.34</v>
      </c>
      <c r="W241" s="33">
        <f t="shared" si="78"/>
        <v>0</v>
      </c>
    </row>
    <row r="242" spans="1:27" ht="20.100000000000001" customHeight="1" x14ac:dyDescent="0.25">
      <c r="A242" s="82">
        <f>'NELIOTA (p&lt;0.5)'!A283</f>
        <v>43848</v>
      </c>
      <c r="B242" s="58" t="str">
        <f>'NELIOTA (p&lt;0.5)'!B283</f>
        <v>03:15-07:25</v>
      </c>
      <c r="C242" s="59">
        <f>'NELIOTA (p&lt;0.5)'!C283</f>
        <v>0.44500000000000001</v>
      </c>
      <c r="D242" s="60">
        <f>'NELIOTA (p&lt;0.5)'!E283</f>
        <v>0</v>
      </c>
      <c r="E242" s="58" t="str">
        <f>'NELIOTA (p&lt;0.5)'!F283</f>
        <v>Cloudiness</v>
      </c>
      <c r="G242" s="8">
        <f>'NELIOTA (p&lt;0.5)'!H283</f>
        <v>0</v>
      </c>
      <c r="H242" s="8">
        <f>'NELIOTA (p&lt;0.5)'!I283</f>
        <v>100</v>
      </c>
      <c r="I242" s="8">
        <f>'NELIOTA (p&lt;0.5)'!J283</f>
        <v>0</v>
      </c>
      <c r="K242" s="98">
        <f>'NELIOTA (p&lt;0.5)'!M283</f>
        <v>0</v>
      </c>
      <c r="L242" s="93">
        <f t="shared" ref="L242:L249" si="80">K242/3600</f>
        <v>0</v>
      </c>
      <c r="N242" s="11">
        <v>4</v>
      </c>
      <c r="O242" s="11">
        <v>10</v>
      </c>
      <c r="P242" s="9">
        <f t="shared" si="64"/>
        <v>4.166666666666667</v>
      </c>
      <c r="Q242" s="9">
        <f t="shared" si="65"/>
        <v>2.6</v>
      </c>
      <c r="R242" s="9">
        <f t="shared" si="73"/>
        <v>2.6</v>
      </c>
      <c r="S242" s="9">
        <f t="shared" si="74"/>
        <v>0</v>
      </c>
      <c r="T242" s="9">
        <f t="shared" si="75"/>
        <v>2.6</v>
      </c>
      <c r="U242" s="9">
        <f t="shared" si="76"/>
        <v>0</v>
      </c>
      <c r="V242" s="9">
        <f t="shared" si="77"/>
        <v>2.6</v>
      </c>
      <c r="W242" s="9">
        <f t="shared" si="78"/>
        <v>0</v>
      </c>
    </row>
    <row r="243" spans="1:27" ht="20.100000000000001" customHeight="1" x14ac:dyDescent="0.25">
      <c r="A243" s="82">
        <f>'NELIOTA (p&lt;0.5)'!A284</f>
        <v>43849</v>
      </c>
      <c r="B243" s="58" t="str">
        <f>'NELIOTA (p&lt;0.5)'!B284</f>
        <v>04:30-07:25</v>
      </c>
      <c r="C243" s="59">
        <f>'NELIOTA (p&lt;0.5)'!C284</f>
        <v>0.33</v>
      </c>
      <c r="D243" s="60">
        <f>'NELIOTA (p&lt;0.5)'!E284</f>
        <v>0</v>
      </c>
      <c r="E243" s="112" t="str">
        <f>'NELIOTA (p&lt;0.5)'!F284</f>
        <v>Cloudiness</v>
      </c>
      <c r="G243" s="8">
        <f>'NELIOTA (p&lt;0.5)'!H284</f>
        <v>0</v>
      </c>
      <c r="H243" s="8">
        <f>'NELIOTA (p&lt;0.5)'!I284</f>
        <v>100</v>
      </c>
      <c r="I243" s="8">
        <f>'NELIOTA (p&lt;0.5)'!J284</f>
        <v>0</v>
      </c>
      <c r="K243" s="98">
        <f>'NELIOTA (p&lt;0.5)'!M284</f>
        <v>0</v>
      </c>
      <c r="L243" s="93">
        <f t="shared" si="80"/>
        <v>0</v>
      </c>
      <c r="N243" s="11">
        <v>2</v>
      </c>
      <c r="O243" s="11">
        <v>55</v>
      </c>
      <c r="P243" s="9">
        <f t="shared" si="64"/>
        <v>2.9166666666666665</v>
      </c>
      <c r="Q243" s="9">
        <f t="shared" si="65"/>
        <v>1.8199999999999998</v>
      </c>
      <c r="R243" s="9">
        <f t="shared" si="73"/>
        <v>1.8199999999999998</v>
      </c>
      <c r="S243" s="9">
        <f t="shared" si="74"/>
        <v>0</v>
      </c>
      <c r="T243" s="9">
        <f t="shared" si="75"/>
        <v>1.8199999999999998</v>
      </c>
      <c r="U243" s="9">
        <f t="shared" si="76"/>
        <v>0</v>
      </c>
      <c r="V243" s="9">
        <f t="shared" si="77"/>
        <v>1.8199999999999998</v>
      </c>
      <c r="W243" s="9">
        <f t="shared" si="78"/>
        <v>0</v>
      </c>
    </row>
    <row r="244" spans="1:27" ht="20.100000000000001" customHeight="1" x14ac:dyDescent="0.25">
      <c r="A244" s="82">
        <f>'NELIOTA (p&lt;0.5)'!A285</f>
        <v>43850</v>
      </c>
      <c r="B244" s="58" t="str">
        <f>'NELIOTA (p&lt;0.5)'!B285</f>
        <v>05:45-07:25</v>
      </c>
      <c r="C244" s="59">
        <f>'NELIOTA (p&lt;0.5)'!C285</f>
        <v>0.22700000000000001</v>
      </c>
      <c r="D244" s="60">
        <f>'NELIOTA (p&lt;0.5)'!E285</f>
        <v>0</v>
      </c>
      <c r="E244" s="112" t="str">
        <f>'NELIOTA (p&lt;0.5)'!F285</f>
        <v>Cloudiness</v>
      </c>
      <c r="G244" s="8">
        <f>'NELIOTA (p&lt;0.5)'!H285</f>
        <v>0</v>
      </c>
      <c r="H244" s="8">
        <f>'NELIOTA (p&lt;0.5)'!I285</f>
        <v>100</v>
      </c>
      <c r="I244" s="8">
        <f>'NELIOTA (p&lt;0.5)'!J285</f>
        <v>0</v>
      </c>
      <c r="K244" s="98">
        <f>'NELIOTA (p&lt;0.5)'!M285</f>
        <v>0</v>
      </c>
      <c r="L244" s="93">
        <f t="shared" si="80"/>
        <v>0</v>
      </c>
      <c r="N244" s="11">
        <v>1</v>
      </c>
      <c r="O244" s="11">
        <v>40</v>
      </c>
      <c r="P244" s="9">
        <f t="shared" si="64"/>
        <v>1.6666666666666665</v>
      </c>
      <c r="Q244" s="9">
        <f t="shared" si="65"/>
        <v>1.0399999999999998</v>
      </c>
      <c r="R244" s="9">
        <f t="shared" si="73"/>
        <v>1.0399999999999998</v>
      </c>
      <c r="S244" s="9">
        <f t="shared" si="74"/>
        <v>0</v>
      </c>
      <c r="T244" s="9">
        <f t="shared" si="75"/>
        <v>1.0399999999999998</v>
      </c>
      <c r="U244" s="9">
        <f t="shared" si="76"/>
        <v>0</v>
      </c>
      <c r="V244" s="9">
        <f t="shared" si="77"/>
        <v>1.0399999999999998</v>
      </c>
      <c r="W244" s="9">
        <f t="shared" si="78"/>
        <v>0</v>
      </c>
    </row>
    <row r="245" spans="1:27" ht="20.100000000000001" customHeight="1" x14ac:dyDescent="0.25">
      <c r="A245" s="82">
        <f>'NELIOTA (p&lt;0.5)'!A286</f>
        <v>43851</v>
      </c>
      <c r="B245" s="58" t="str">
        <f>'NELIOTA (p&lt;0.5)'!B286</f>
        <v>07:00-07:25</v>
      </c>
      <c r="C245" s="59">
        <f>'NELIOTA (p&lt;0.5)'!C286</f>
        <v>0.14000000000000001</v>
      </c>
      <c r="D245" s="60">
        <f>'NELIOTA (p&lt;0.5)'!E286</f>
        <v>0</v>
      </c>
      <c r="E245" s="112" t="str">
        <f>'NELIOTA (p&lt;0.5)'!F286</f>
        <v>Cloudiness</v>
      </c>
      <c r="G245" s="8">
        <f>'NELIOTA (p&lt;0.5)'!H286</f>
        <v>0</v>
      </c>
      <c r="H245" s="8">
        <f>'NELIOTA (p&lt;0.5)'!I286</f>
        <v>100</v>
      </c>
      <c r="I245" s="8">
        <f>'NELIOTA (p&lt;0.5)'!J286</f>
        <v>0</v>
      </c>
      <c r="K245" s="98">
        <f>'NELIOTA (p&lt;0.5)'!M286</f>
        <v>0</v>
      </c>
      <c r="L245" s="93">
        <f t="shared" si="80"/>
        <v>0</v>
      </c>
      <c r="N245" s="11">
        <v>0</v>
      </c>
      <c r="O245" s="11">
        <v>25</v>
      </c>
      <c r="P245" s="9">
        <f t="shared" si="64"/>
        <v>0.41666666666666669</v>
      </c>
      <c r="Q245" s="9">
        <f t="shared" si="65"/>
        <v>0.26</v>
      </c>
      <c r="R245" s="9">
        <f t="shared" si="73"/>
        <v>0.26</v>
      </c>
      <c r="S245" s="9">
        <f t="shared" si="74"/>
        <v>0</v>
      </c>
      <c r="T245" s="9">
        <f t="shared" si="75"/>
        <v>0.26</v>
      </c>
      <c r="U245" s="9">
        <f t="shared" si="76"/>
        <v>0</v>
      </c>
      <c r="V245" s="9">
        <f t="shared" si="77"/>
        <v>0.26</v>
      </c>
      <c r="W245" s="9">
        <f t="shared" si="78"/>
        <v>0</v>
      </c>
    </row>
    <row r="246" spans="1:27" ht="20.100000000000001" customHeight="1" x14ac:dyDescent="0.25">
      <c r="A246" s="82">
        <f>'NELIOTA (p&lt;0.5)'!A287</f>
        <v>43858</v>
      </c>
      <c r="B246" s="58" t="str">
        <f>'NELIOTA (p&lt;0.5)'!B287</f>
        <v>18:10-19:15</v>
      </c>
      <c r="C246" s="59">
        <f>'NELIOTA (p&lt;0.5)'!C287</f>
        <v>0.13200000000000001</v>
      </c>
      <c r="D246" s="60">
        <f>'NELIOTA (p&lt;0.5)'!E287</f>
        <v>0</v>
      </c>
      <c r="E246" s="112" t="str">
        <f>'NELIOTA (p&lt;0.5)'!F287</f>
        <v>moderate</v>
      </c>
      <c r="G246" s="8">
        <f>'NELIOTA (p&lt;0.5)'!H287</f>
        <v>50</v>
      </c>
      <c r="H246" s="8">
        <f>'NELIOTA (p&lt;0.5)'!I287</f>
        <v>50</v>
      </c>
      <c r="I246" s="8">
        <f>'NELIOTA (p&lt;0.5)'!J287</f>
        <v>0</v>
      </c>
      <c r="K246" s="98">
        <f>'NELIOTA (p&lt;0.5)'!M287</f>
        <v>1219.8499999999999</v>
      </c>
      <c r="L246" s="93">
        <f t="shared" si="80"/>
        <v>0.33884722222222219</v>
      </c>
      <c r="N246" s="11">
        <v>1</v>
      </c>
      <c r="O246" s="11">
        <v>5</v>
      </c>
      <c r="P246" s="9">
        <f t="shared" si="64"/>
        <v>1.0833333333333333</v>
      </c>
      <c r="Q246" s="9">
        <f t="shared" si="65"/>
        <v>0.67599999999999993</v>
      </c>
      <c r="R246" s="9">
        <f t="shared" si="73"/>
        <v>0.67599999999999993</v>
      </c>
      <c r="S246" s="9">
        <f t="shared" si="74"/>
        <v>50.125328731097959</v>
      </c>
      <c r="T246" s="9">
        <f t="shared" si="75"/>
        <v>0.67599999999999993</v>
      </c>
      <c r="U246" s="9">
        <f t="shared" si="76"/>
        <v>0.33884722222222219</v>
      </c>
      <c r="V246" s="9">
        <f t="shared" si="77"/>
        <v>0.33799999999999997</v>
      </c>
      <c r="W246" s="9">
        <f t="shared" si="78"/>
        <v>0</v>
      </c>
    </row>
    <row r="247" spans="1:27" ht="20.100000000000001" customHeight="1" x14ac:dyDescent="0.25">
      <c r="A247" s="82">
        <f>'NELIOTA (p&lt;0.5)'!A288</f>
        <v>43859</v>
      </c>
      <c r="B247" s="58" t="str">
        <f>'NELIOTA (p&lt;0.5)'!B288</f>
        <v>18:10-20:15</v>
      </c>
      <c r="C247" s="59">
        <f>'NELIOTA (p&lt;0.5)'!C288</f>
        <v>0.20599999999999999</v>
      </c>
      <c r="D247" s="60">
        <f>'NELIOTA (p&lt;0.5)'!E288</f>
        <v>0</v>
      </c>
      <c r="E247" s="112" t="str">
        <f>'NELIOTA (p&lt;0.5)'!F288</f>
        <v>Cloudiness</v>
      </c>
      <c r="G247" s="8">
        <f>'NELIOTA (p&lt;0.5)'!H288</f>
        <v>0</v>
      </c>
      <c r="H247" s="8">
        <f>'NELIOTA (p&lt;0.5)'!I288</f>
        <v>100</v>
      </c>
      <c r="I247" s="8">
        <f>'NELIOTA (p&lt;0.5)'!J288</f>
        <v>0</v>
      </c>
      <c r="K247" s="98">
        <f>'NELIOTA (p&lt;0.5)'!M288</f>
        <v>0</v>
      </c>
      <c r="L247" s="93">
        <f t="shared" si="80"/>
        <v>0</v>
      </c>
      <c r="N247" s="11">
        <v>2</v>
      </c>
      <c r="O247" s="11">
        <v>5</v>
      </c>
      <c r="P247" s="9">
        <f t="shared" si="64"/>
        <v>2.0833333333333335</v>
      </c>
      <c r="Q247" s="9">
        <f t="shared" si="65"/>
        <v>1.3</v>
      </c>
      <c r="R247" s="9">
        <f t="shared" si="73"/>
        <v>1.3</v>
      </c>
      <c r="S247" s="9">
        <f t="shared" si="74"/>
        <v>0</v>
      </c>
      <c r="T247" s="9">
        <f t="shared" si="75"/>
        <v>1.3</v>
      </c>
      <c r="U247" s="9">
        <f t="shared" si="76"/>
        <v>0</v>
      </c>
      <c r="V247" s="9">
        <f t="shared" si="77"/>
        <v>1.3</v>
      </c>
      <c r="W247" s="9">
        <f t="shared" si="78"/>
        <v>0</v>
      </c>
    </row>
    <row r="248" spans="1:27" ht="20.100000000000001" customHeight="1" x14ac:dyDescent="0.25">
      <c r="A248" s="82">
        <f>'NELIOTA (p&lt;0.5)'!A289</f>
        <v>43860</v>
      </c>
      <c r="B248" s="58" t="str">
        <f>'NELIOTA (p&lt;0.5)'!B289</f>
        <v>18:10-21:15</v>
      </c>
      <c r="C248" s="59">
        <f>'NELIOTA (p&lt;0.5)'!C289</f>
        <v>0.29099999999999998</v>
      </c>
      <c r="D248" s="60" t="str">
        <f>'NELIOTA (p&lt;0.5)'!E289</f>
        <v>2 val + 2 susp</v>
      </c>
      <c r="E248" s="112" t="str">
        <f>'NELIOTA (p&lt;0.5)'!F289</f>
        <v>Very good</v>
      </c>
      <c r="G248" s="8">
        <f>'NELIOTA (p&lt;0.5)'!H289</f>
        <v>100</v>
      </c>
      <c r="H248" s="8">
        <f>'NELIOTA (p&lt;0.5)'!I289</f>
        <v>0</v>
      </c>
      <c r="I248" s="8">
        <f>'NELIOTA (p&lt;0.5)'!J289</f>
        <v>0</v>
      </c>
      <c r="K248" s="98">
        <f>'NELIOTA (p&lt;0.5)'!M289</f>
        <v>6560.29</v>
      </c>
      <c r="L248" s="93">
        <f t="shared" si="80"/>
        <v>1.8223027777777778</v>
      </c>
      <c r="N248" s="11">
        <v>2</v>
      </c>
      <c r="O248" s="11">
        <v>55.22</v>
      </c>
      <c r="P248" s="9">
        <f t="shared" si="64"/>
        <v>2.9203333333333332</v>
      </c>
      <c r="Q248" s="9">
        <f t="shared" si="65"/>
        <v>1.8222879999999999</v>
      </c>
      <c r="R248" s="9">
        <f t="shared" si="73"/>
        <v>1.8223027777777778</v>
      </c>
      <c r="S248" s="9">
        <f t="shared" si="74"/>
        <v>100.00081094633659</v>
      </c>
      <c r="T248" s="9">
        <f t="shared" si="75"/>
        <v>1.8223027777777778</v>
      </c>
      <c r="U248" s="9">
        <f t="shared" si="76"/>
        <v>1.8223027777777778</v>
      </c>
      <c r="V248" s="9">
        <f t="shared" si="77"/>
        <v>0</v>
      </c>
      <c r="W248" s="9">
        <f t="shared" si="78"/>
        <v>0</v>
      </c>
    </row>
    <row r="249" spans="1:27" ht="20.100000000000001" customHeight="1" x14ac:dyDescent="0.25">
      <c r="A249" s="82">
        <f>'NELIOTA (p&lt;0.5)'!A290</f>
        <v>43861</v>
      </c>
      <c r="B249" s="58" t="str">
        <f>'NELIOTA (p&lt;0.5)'!B290</f>
        <v>18:10-22:10</v>
      </c>
      <c r="C249" s="59">
        <f>'NELIOTA (p&lt;0.5)'!C290</f>
        <v>0.38300000000000001</v>
      </c>
      <c r="D249" s="60" t="str">
        <f>'NELIOTA (p&lt;0.5)'!E290</f>
        <v>1 susp</v>
      </c>
      <c r="E249" s="112" t="str">
        <f>'NELIOTA (p&lt;0.5)'!F290</f>
        <v>moderate</v>
      </c>
      <c r="G249" s="8">
        <f>'NELIOTA (p&lt;0.5)'!H290</f>
        <v>100</v>
      </c>
      <c r="H249" s="8">
        <f>'NELIOTA (p&lt;0.5)'!I290</f>
        <v>0</v>
      </c>
      <c r="I249" s="8">
        <f>'NELIOTA (p&lt;0.5)'!J290</f>
        <v>0</v>
      </c>
      <c r="K249" s="98">
        <f>'NELIOTA (p&lt;0.5)'!M290</f>
        <v>8802.2379999999994</v>
      </c>
      <c r="L249" s="93">
        <f t="shared" si="80"/>
        <v>2.4450661111111107</v>
      </c>
      <c r="N249" s="11">
        <v>3</v>
      </c>
      <c r="O249" s="11">
        <v>55.1</v>
      </c>
      <c r="P249" s="9">
        <f t="shared" si="64"/>
        <v>3.9183333333333334</v>
      </c>
      <c r="Q249" s="9">
        <f t="shared" si="65"/>
        <v>2.4450400000000001</v>
      </c>
      <c r="R249" s="9">
        <f t="shared" si="73"/>
        <v>2.4450661111111107</v>
      </c>
      <c r="S249" s="9">
        <f t="shared" si="74"/>
        <v>100.00106792163362</v>
      </c>
      <c r="T249" s="9">
        <f t="shared" si="75"/>
        <v>2.4450661111111107</v>
      </c>
      <c r="U249" s="9">
        <f t="shared" si="76"/>
        <v>2.4450661111111107</v>
      </c>
      <c r="V249" s="9">
        <f t="shared" si="77"/>
        <v>0</v>
      </c>
      <c r="W249" s="9">
        <f t="shared" si="78"/>
        <v>0</v>
      </c>
      <c r="X249" s="9">
        <f>SUM(U241:U249)</f>
        <v>4.6062161111111113</v>
      </c>
      <c r="Y249" s="9">
        <f>100*X249/SUM(T241:T249)</f>
        <v>32.203714711499202</v>
      </c>
      <c r="Z249" s="9">
        <f>100*SUM(V241:V249)/SUM(T241:T249)</f>
        <v>67.802208523990302</v>
      </c>
      <c r="AA249" s="9">
        <f>100*SUM(W241:W249)/SUM(T241:T249)</f>
        <v>0</v>
      </c>
    </row>
    <row r="250" spans="1:27" s="48" customFormat="1" x14ac:dyDescent="0.25">
      <c r="A250" s="94">
        <f>'NELIOTA (p&lt;0.5)'!A291</f>
        <v>43878</v>
      </c>
      <c r="B250" s="62" t="str">
        <f>'NELIOTA (p&lt;0.5)'!B291</f>
        <v>04:50-06:55</v>
      </c>
      <c r="C250" s="63">
        <f>'NELIOTA (p&lt;0.5)'!C291</f>
        <v>0.374</v>
      </c>
      <c r="D250" s="64">
        <f>'NELIOTA (p&lt;0.5)'!E291</f>
        <v>0</v>
      </c>
      <c r="E250" s="119" t="str">
        <f>'NELIOTA (p&lt;0.5)'!F291</f>
        <v>good</v>
      </c>
      <c r="G250" s="24">
        <f>'NELIOTA (p&lt;0.5)'!H291</f>
        <v>100</v>
      </c>
      <c r="H250" s="24">
        <f>'NELIOTA (p&lt;0.5)'!I291</f>
        <v>0</v>
      </c>
      <c r="I250" s="24">
        <f>'NELIOTA (p&lt;0.5)'!J291</f>
        <v>0</v>
      </c>
      <c r="K250" s="101">
        <f>'NELIOTA (p&lt;0.5)'!M291</f>
        <v>4577.3999999999996</v>
      </c>
      <c r="L250" s="92">
        <f t="shared" ref="L250" si="81">K250/3600</f>
        <v>1.2714999999999999</v>
      </c>
      <c r="N250" s="47">
        <v>2</v>
      </c>
      <c r="O250" s="47">
        <v>2.2599999999999998</v>
      </c>
      <c r="P250" s="33">
        <f t="shared" si="64"/>
        <v>2.0376666666666665</v>
      </c>
      <c r="Q250" s="33">
        <f t="shared" si="65"/>
        <v>1.271504</v>
      </c>
      <c r="R250" s="33">
        <f t="shared" si="73"/>
        <v>1.2714999999999999</v>
      </c>
      <c r="S250" s="33">
        <f t="shared" si="74"/>
        <v>99.999685411921632</v>
      </c>
      <c r="T250" s="33">
        <f t="shared" si="75"/>
        <v>1.2714999999999999</v>
      </c>
      <c r="U250" s="33">
        <f t="shared" si="76"/>
        <v>1.2714999999999999</v>
      </c>
      <c r="V250" s="33">
        <f t="shared" si="77"/>
        <v>0</v>
      </c>
      <c r="W250" s="33">
        <f t="shared" si="78"/>
        <v>0</v>
      </c>
    </row>
    <row r="251" spans="1:27" x14ac:dyDescent="0.25">
      <c r="A251" s="82">
        <f>'NELIOTA (p&lt;0.5)'!A292</f>
        <v>43879</v>
      </c>
      <c r="B251" s="58" t="str">
        <f>'NELIOTA (p&lt;0.5)'!B292</f>
        <v>06:00-06:55</v>
      </c>
      <c r="C251" s="59">
        <f>'NELIOTA (p&lt;0.5)'!C292</f>
        <v>0.27100000000000002</v>
      </c>
      <c r="D251" s="60">
        <f>'NELIOTA (p&lt;0.5)'!E292</f>
        <v>0</v>
      </c>
      <c r="E251" s="112" t="str">
        <f>'NELIOTA (p&lt;0.5)'!F292</f>
        <v>Very good</v>
      </c>
      <c r="G251" s="8">
        <f>'NELIOTA (p&lt;0.5)'!H292</f>
        <v>100</v>
      </c>
      <c r="H251" s="8">
        <f>'NELIOTA (p&lt;0.5)'!I292</f>
        <v>0</v>
      </c>
      <c r="I251" s="8">
        <f>'NELIOTA (p&lt;0.5)'!J292</f>
        <v>0</v>
      </c>
      <c r="K251" s="98">
        <f>'NELIOTA (p&lt;0.5)'!M292</f>
        <v>2016.18</v>
      </c>
      <c r="L251" s="93">
        <f t="shared" ref="L251" si="82">K251/3600</f>
        <v>0.56005000000000005</v>
      </c>
      <c r="N251" s="11">
        <v>0</v>
      </c>
      <c r="O251" s="11">
        <v>53.85</v>
      </c>
      <c r="P251" s="9">
        <f t="shared" si="64"/>
        <v>0.89750000000000008</v>
      </c>
      <c r="Q251" s="9">
        <f t="shared" si="65"/>
        <v>0.56004000000000009</v>
      </c>
      <c r="R251" s="9">
        <f t="shared" si="73"/>
        <v>0.56005000000000005</v>
      </c>
      <c r="S251" s="9">
        <f t="shared" si="74"/>
        <v>100.00178558674379</v>
      </c>
      <c r="T251" s="9">
        <f t="shared" si="75"/>
        <v>0.56005000000000005</v>
      </c>
      <c r="U251" s="9">
        <f t="shared" si="76"/>
        <v>0.56005000000000005</v>
      </c>
      <c r="V251" s="9">
        <f t="shared" si="77"/>
        <v>0</v>
      </c>
      <c r="W251" s="9">
        <f t="shared" si="78"/>
        <v>0</v>
      </c>
    </row>
    <row r="252" spans="1:27" x14ac:dyDescent="0.25">
      <c r="A252" s="82">
        <f>'NELIOTA (p&lt;0.5)'!A293</f>
        <v>43887</v>
      </c>
      <c r="B252" s="58" t="str">
        <f>'NELIOTA (p&lt;0.5)'!B293</f>
        <v>18:40-19:05</v>
      </c>
      <c r="C252" s="59">
        <f>'NELIOTA (p&lt;0.5)'!C293</f>
        <v>8.3000000000000004E-2</v>
      </c>
      <c r="D252" s="60">
        <f>'NELIOTA (p&lt;0.5)'!E293</f>
        <v>0</v>
      </c>
      <c r="E252" s="112" t="str">
        <f>'NELIOTA (p&lt;0.5)'!F293</f>
        <v>moderate</v>
      </c>
      <c r="G252" s="8">
        <f>'NELIOTA (p&lt;0.5)'!H293</f>
        <v>60</v>
      </c>
      <c r="H252" s="8">
        <f>'NELIOTA (p&lt;0.5)'!I293</f>
        <v>40</v>
      </c>
      <c r="I252" s="8">
        <f>'NELIOTA (p&lt;0.5)'!J293</f>
        <v>0</v>
      </c>
      <c r="K252" s="98">
        <f>'NELIOTA (p&lt;0.5)'!M293</f>
        <v>672.6</v>
      </c>
      <c r="L252" s="93">
        <f t="shared" ref="L252" si="83">K252/3600</f>
        <v>0.18683333333333335</v>
      </c>
      <c r="N252" s="120">
        <v>0</v>
      </c>
      <c r="O252" s="11">
        <v>29.95</v>
      </c>
      <c r="P252" s="9">
        <f t="shared" si="64"/>
        <v>0.49916666666666665</v>
      </c>
      <c r="Q252" s="9">
        <f t="shared" si="65"/>
        <v>0.31147999999999998</v>
      </c>
      <c r="R252" s="9">
        <f t="shared" si="73"/>
        <v>0.31147999999999998</v>
      </c>
      <c r="S252" s="9">
        <f t="shared" si="74"/>
        <v>59.982449381447715</v>
      </c>
      <c r="T252" s="9">
        <f t="shared" si="75"/>
        <v>0.31147999999999998</v>
      </c>
      <c r="U252" s="9">
        <f t="shared" si="76"/>
        <v>0.18683333333333335</v>
      </c>
      <c r="V252" s="9">
        <f t="shared" si="77"/>
        <v>0.12459199999999999</v>
      </c>
      <c r="W252" s="9">
        <f t="shared" si="78"/>
        <v>0</v>
      </c>
    </row>
    <row r="253" spans="1:27" x14ac:dyDescent="0.25">
      <c r="A253" s="82">
        <f>'NELIOTA (p&lt;0.5)'!A294</f>
        <v>43888</v>
      </c>
      <c r="B253" s="58" t="str">
        <f>'NELIOTA (p&lt;0.5)'!B294</f>
        <v>18:40-20:00</v>
      </c>
      <c r="C253" s="59">
        <f>'NELIOTA (p&lt;0.5)'!C294</f>
        <v>0.14499999999999999</v>
      </c>
      <c r="D253" s="60">
        <f>'NELIOTA (p&lt;0.5)'!E294</f>
        <v>0</v>
      </c>
      <c r="E253" s="112" t="str">
        <f>'NELIOTA (p&lt;0.5)'!F294</f>
        <v>moderate</v>
      </c>
      <c r="G253" s="8">
        <f>'NELIOTA (p&lt;0.5)'!H294</f>
        <v>44</v>
      </c>
      <c r="H253" s="8">
        <f>'NELIOTA (p&lt;0.5)'!I294</f>
        <v>56</v>
      </c>
      <c r="I253" s="8">
        <f>'NELIOTA (p&lt;0.5)'!J294</f>
        <v>0</v>
      </c>
      <c r="K253" s="98">
        <f>'NELIOTA (p&lt;0.5)'!M294</f>
        <v>1485.66</v>
      </c>
      <c r="L253" s="93">
        <f t="shared" ref="L253" si="84">K253/3600</f>
        <v>0.41268333333333335</v>
      </c>
      <c r="N253" s="11">
        <v>1</v>
      </c>
      <c r="O253" s="11">
        <v>30.18</v>
      </c>
      <c r="P253" s="9">
        <f t="shared" si="64"/>
        <v>1.5030000000000001</v>
      </c>
      <c r="Q253" s="9">
        <f t="shared" si="65"/>
        <v>0.93787200000000004</v>
      </c>
      <c r="R253" s="9">
        <f t="shared" si="73"/>
        <v>0.93787200000000004</v>
      </c>
      <c r="S253" s="9">
        <f t="shared" si="74"/>
        <v>44.002095524051612</v>
      </c>
      <c r="T253" s="9">
        <f t="shared" si="75"/>
        <v>0.93787200000000004</v>
      </c>
      <c r="U253" s="9">
        <f t="shared" si="76"/>
        <v>0.41268333333333335</v>
      </c>
      <c r="V253" s="9">
        <f t="shared" si="77"/>
        <v>0.52520832000000006</v>
      </c>
      <c r="W253" s="9">
        <f t="shared" si="78"/>
        <v>0</v>
      </c>
    </row>
    <row r="254" spans="1:27" x14ac:dyDescent="0.25">
      <c r="A254" s="82">
        <f>'NELIOTA (p&lt;0.5)'!A295</f>
        <v>43889</v>
      </c>
      <c r="B254" s="58" t="str">
        <f>'NELIOTA (p&lt;0.5)'!B295</f>
        <v>18:40-21:00</v>
      </c>
      <c r="C254" s="59">
        <f>'NELIOTA (p&lt;0.5)'!C295</f>
        <v>0.221</v>
      </c>
      <c r="D254" s="60">
        <f>'NELIOTA (p&lt;0.5)'!E295</f>
        <v>0</v>
      </c>
      <c r="E254" s="112" t="str">
        <f>'NELIOTA (p&lt;0.5)'!F295</f>
        <v>moderate</v>
      </c>
      <c r="G254" s="8">
        <f>'NELIOTA (p&lt;0.5)'!H295</f>
        <v>7</v>
      </c>
      <c r="H254" s="8">
        <f>'NELIOTA (p&lt;0.5)'!I295</f>
        <v>93</v>
      </c>
      <c r="I254" s="8">
        <f>'NELIOTA (p&lt;0.5)'!J295</f>
        <v>0</v>
      </c>
      <c r="K254" s="98">
        <f>'NELIOTA (p&lt;0.5)'!M295</f>
        <v>440.1</v>
      </c>
      <c r="L254" s="93">
        <f t="shared" ref="L254" si="85">K254/3600</f>
        <v>0.12225000000000001</v>
      </c>
      <c r="N254" s="11">
        <v>2</v>
      </c>
      <c r="O254" s="11">
        <v>40</v>
      </c>
      <c r="P254" s="9">
        <f t="shared" si="64"/>
        <v>2.6666666666666665</v>
      </c>
      <c r="Q254" s="9">
        <f t="shared" si="65"/>
        <v>1.6639999999999999</v>
      </c>
      <c r="R254" s="9">
        <f t="shared" si="73"/>
        <v>1.6639999999999999</v>
      </c>
      <c r="S254" s="9">
        <f t="shared" si="74"/>
        <v>7.3467548076923093</v>
      </c>
      <c r="T254" s="9">
        <f t="shared" si="75"/>
        <v>1.6639999999999999</v>
      </c>
      <c r="U254" s="9">
        <f t="shared" si="76"/>
        <v>0.12225000000000001</v>
      </c>
      <c r="V254" s="9">
        <f t="shared" si="77"/>
        <v>1.54752</v>
      </c>
      <c r="W254" s="9">
        <f t="shared" si="78"/>
        <v>0</v>
      </c>
    </row>
    <row r="255" spans="1:27" x14ac:dyDescent="0.25">
      <c r="A255" s="82">
        <f>'NELIOTA (p&lt;0.5)'!A296</f>
        <v>43890</v>
      </c>
      <c r="B255" s="58" t="str">
        <f>'NELIOTA (p&lt;0.5)'!B296</f>
        <v>18:40-21:55</v>
      </c>
      <c r="C255" s="59">
        <f>'NELIOTA (p&lt;0.5)'!C296</f>
        <v>0.308</v>
      </c>
      <c r="D255" s="60">
        <f>'NELIOTA (p&lt;0.5)'!E296</f>
        <v>0</v>
      </c>
      <c r="E255" s="112" t="str">
        <f>'NELIOTA (p&lt;0.5)'!F296</f>
        <v>good</v>
      </c>
      <c r="G255" s="8">
        <f>'NELIOTA (p&lt;0.5)'!H296</f>
        <v>24</v>
      </c>
      <c r="H255" s="8">
        <f>'NELIOTA (p&lt;0.5)'!I296</f>
        <v>76</v>
      </c>
      <c r="I255" s="8">
        <f>'NELIOTA (p&lt;0.5)'!J296</f>
        <v>0</v>
      </c>
      <c r="K255" s="98">
        <f>'NELIOTA (p&lt;0.5)'!M296</f>
        <v>2035.7</v>
      </c>
      <c r="L255" s="93">
        <f t="shared" ref="L255" si="86">K255/3600</f>
        <v>0.56547222222222226</v>
      </c>
      <c r="N255" s="11">
        <v>3</v>
      </c>
      <c r="O255" s="11">
        <v>44.68</v>
      </c>
      <c r="P255" s="9">
        <f t="shared" ref="P255:P261" si="87">N255+O255/60</f>
        <v>3.7446666666666668</v>
      </c>
      <c r="Q255" s="9">
        <f t="shared" ref="Q255:Q261" si="88">P255*62.4%</f>
        <v>2.3366720000000001</v>
      </c>
      <c r="R255" s="9">
        <f t="shared" ref="R255:R261" si="89">IF(G255=100,L255,Q255)</f>
        <v>2.3366720000000001</v>
      </c>
      <c r="S255" s="9">
        <f t="shared" ref="S255:S261" si="90">100*L255/Q255</f>
        <v>24.199897213739121</v>
      </c>
      <c r="T255" s="9">
        <f t="shared" ref="T255:T261" si="91">R255</f>
        <v>2.3366720000000001</v>
      </c>
      <c r="U255" s="9">
        <f t="shared" ref="U255" si="92">L255</f>
        <v>0.56547222222222226</v>
      </c>
      <c r="V255" s="9">
        <f t="shared" ref="V255" si="93">T255*H255%</f>
        <v>1.7758707200000001</v>
      </c>
      <c r="W255" s="9">
        <f t="shared" ref="W255:W261" si="94">T255*I255%</f>
        <v>0</v>
      </c>
      <c r="X255" s="9">
        <f>SUM(U250:U255)</f>
        <v>3.1187888888888891</v>
      </c>
      <c r="Y255" s="9">
        <f>100*X255/SUM(T250:T255)</f>
        <v>44.040899507494935</v>
      </c>
      <c r="Z255" s="9">
        <f>100*SUM(V250:V255)/SUM(T250:T255)</f>
        <v>56.10604422124235</v>
      </c>
      <c r="AA255" s="9">
        <f>100*SUM(W250:W255)/SUM(T250:T255)</f>
        <v>0</v>
      </c>
    </row>
    <row r="256" spans="1:27" s="48" customFormat="1" x14ac:dyDescent="0.25">
      <c r="A256" s="94">
        <f>'NELIOTA (p&lt;0.5)'!A297</f>
        <v>43891</v>
      </c>
      <c r="B256" s="62" t="str">
        <f>'NELIOTA (p&lt;0.5)'!B297</f>
        <v>18:40-22:55</v>
      </c>
      <c r="C256" s="63">
        <f>'NELIOTA (p&lt;0.5)'!C297</f>
        <v>0.40500000000000003</v>
      </c>
      <c r="D256" s="64" t="str">
        <f>'NELIOTA (p&lt;0.5)'!E297</f>
        <v>2 validated</v>
      </c>
      <c r="E256" s="119" t="str">
        <f>'NELIOTA (p&lt;0.5)'!F297</f>
        <v>Very good</v>
      </c>
      <c r="G256" s="24">
        <f>'NELIOTA (p&lt;0.5)'!H297</f>
        <v>96</v>
      </c>
      <c r="H256" s="24">
        <f>'NELIOTA (p&lt;0.5)'!I297</f>
        <v>0</v>
      </c>
      <c r="I256" s="24">
        <f>'NELIOTA (p&lt;0.5)'!J297</f>
        <v>4</v>
      </c>
      <c r="K256" s="101">
        <f>'NELIOTA (p&lt;0.5)'!M297</f>
        <v>7951.86</v>
      </c>
      <c r="L256" s="92">
        <f t="shared" ref="L256" si="95">K256/3600</f>
        <v>2.20885</v>
      </c>
      <c r="N256" s="47">
        <v>3</v>
      </c>
      <c r="O256" s="47">
        <v>41.2</v>
      </c>
      <c r="P256" s="33">
        <f t="shared" si="87"/>
        <v>3.6866666666666665</v>
      </c>
      <c r="Q256" s="33">
        <f t="shared" si="88"/>
        <v>2.3004799999999999</v>
      </c>
      <c r="R256" s="33">
        <f t="shared" si="89"/>
        <v>2.3004799999999999</v>
      </c>
      <c r="S256" s="33">
        <f t="shared" si="90"/>
        <v>96.016918208373909</v>
      </c>
      <c r="T256" s="33">
        <f t="shared" si="91"/>
        <v>2.3004799999999999</v>
      </c>
      <c r="U256" s="33">
        <f t="shared" ref="U256:U261" si="96">L256</f>
        <v>2.20885</v>
      </c>
      <c r="V256" s="33">
        <f t="shared" ref="V256:V261" si="97">T256*H256%</f>
        <v>0</v>
      </c>
      <c r="W256" s="33">
        <f t="shared" si="94"/>
        <v>9.2019199999999995E-2</v>
      </c>
    </row>
    <row r="257" spans="1:28" x14ac:dyDescent="0.25">
      <c r="A257" s="82">
        <f>'NELIOTA (p&lt;0.5)'!A298</f>
        <v>43907</v>
      </c>
      <c r="B257" s="58" t="str">
        <f>'NELIOTA (p&lt;0.5)'!B298</f>
        <v>05:00-06:20</v>
      </c>
      <c r="C257" s="59">
        <f>'NELIOTA (p&lt;0.5)'!C298</f>
        <v>0.42599999999999999</v>
      </c>
      <c r="D257" s="60" t="str">
        <f>'NELIOTA (p&lt;0.5)'!E298</f>
        <v>0</v>
      </c>
      <c r="E257" s="112" t="str">
        <f>'NELIOTA (p&lt;0.5)'!F298</f>
        <v>moderate</v>
      </c>
      <c r="G257" s="8">
        <f>'NELIOTA (p&lt;0.5)'!H298</f>
        <v>100</v>
      </c>
      <c r="H257" s="8">
        <f>'NELIOTA (p&lt;0.5)'!I298</f>
        <v>0</v>
      </c>
      <c r="I257" s="8">
        <f>'NELIOTA (p&lt;0.5)'!J298</f>
        <v>0</v>
      </c>
      <c r="K257" s="98">
        <f>'NELIOTA (p&lt;0.5)'!M298</f>
        <v>2679.73</v>
      </c>
      <c r="L257" s="93">
        <f t="shared" ref="L257:L263" si="98">K257/3600</f>
        <v>0.74436944444444442</v>
      </c>
      <c r="N257" s="11">
        <v>1</v>
      </c>
      <c r="O257" s="11">
        <v>20</v>
      </c>
      <c r="P257" s="9">
        <f t="shared" si="87"/>
        <v>1.3333333333333333</v>
      </c>
      <c r="Q257" s="9">
        <f t="shared" si="88"/>
        <v>0.83199999999999996</v>
      </c>
      <c r="R257" s="9">
        <f t="shared" si="89"/>
        <v>0.74436944444444442</v>
      </c>
      <c r="S257" s="9">
        <f t="shared" si="90"/>
        <v>89.467481303418793</v>
      </c>
      <c r="T257" s="9">
        <f t="shared" si="91"/>
        <v>0.74436944444444442</v>
      </c>
      <c r="U257" s="9">
        <f t="shared" si="96"/>
        <v>0.74436944444444442</v>
      </c>
      <c r="V257" s="9">
        <f t="shared" si="97"/>
        <v>0</v>
      </c>
      <c r="W257" s="9">
        <f t="shared" si="94"/>
        <v>0</v>
      </c>
    </row>
    <row r="258" spans="1:28" x14ac:dyDescent="0.25">
      <c r="A258" s="82">
        <f>'NELIOTA (p&lt;0.5)'!A299</f>
        <v>43908</v>
      </c>
      <c r="B258" s="58" t="str">
        <f>'NELIOTA (p&lt;0.5)'!B299</f>
        <v>05:50-06:20</v>
      </c>
      <c r="C258" s="59">
        <f>'NELIOTA (p&lt;0.5)'!C299</f>
        <v>0.32300000000000001</v>
      </c>
      <c r="D258" s="60" t="str">
        <f>'NELIOTA (p&lt;0.5)'!E299</f>
        <v>0</v>
      </c>
      <c r="E258" s="112" t="str">
        <f>'NELIOTA (p&lt;0.5)'!F299</f>
        <v>good</v>
      </c>
      <c r="G258" s="8">
        <f>'NELIOTA (p&lt;0.5)'!H299</f>
        <v>0</v>
      </c>
      <c r="H258" s="8">
        <f>'NELIOTA (p&lt;0.5)'!I299</f>
        <v>0</v>
      </c>
      <c r="I258" s="8">
        <f>'NELIOTA (p&lt;0.5)'!J299</f>
        <v>100</v>
      </c>
      <c r="K258" s="98">
        <f>'NELIOTA (p&lt;0.5)'!M299</f>
        <v>0</v>
      </c>
      <c r="L258" s="93">
        <f t="shared" si="98"/>
        <v>0</v>
      </c>
      <c r="N258" s="11">
        <v>0</v>
      </c>
      <c r="O258" s="11">
        <v>30</v>
      </c>
      <c r="P258" s="9">
        <f t="shared" si="87"/>
        <v>0.5</v>
      </c>
      <c r="Q258" s="9">
        <f t="shared" si="88"/>
        <v>0.312</v>
      </c>
      <c r="R258" s="9">
        <f t="shared" si="89"/>
        <v>0.312</v>
      </c>
      <c r="S258" s="9">
        <f t="shared" si="90"/>
        <v>0</v>
      </c>
      <c r="T258" s="9">
        <f t="shared" si="91"/>
        <v>0.312</v>
      </c>
      <c r="U258" s="9">
        <f t="shared" si="96"/>
        <v>0</v>
      </c>
      <c r="V258" s="9">
        <f t="shared" si="97"/>
        <v>0</v>
      </c>
      <c r="W258" s="9">
        <f t="shared" si="94"/>
        <v>0.312</v>
      </c>
    </row>
    <row r="259" spans="1:28" x14ac:dyDescent="0.25">
      <c r="A259" s="82">
        <f>'NELIOTA (p&lt;0.5)'!A300</f>
        <v>43917</v>
      </c>
      <c r="B259" s="58" t="str">
        <f>'NELIOTA (p&lt;0.5)'!B300</f>
        <v>19:05-19:50</v>
      </c>
      <c r="C259" s="59">
        <f>'NELIOTA (p&lt;0.5)'!C300</f>
        <v>9.8000000000000004E-2</v>
      </c>
      <c r="D259" s="60" t="str">
        <f>'NELIOTA (p&lt;0.5)'!E300</f>
        <v>1 validated</v>
      </c>
      <c r="E259" s="112" t="str">
        <f>'NELIOTA (p&lt;0.5)'!F300</f>
        <v>Very good</v>
      </c>
      <c r="G259" s="8">
        <f>'NELIOTA (p&lt;0.5)'!H300</f>
        <v>100</v>
      </c>
      <c r="H259" s="8">
        <f>'NELIOTA (p&lt;0.5)'!I300</f>
        <v>0</v>
      </c>
      <c r="I259" s="8">
        <f>'NELIOTA (p&lt;0.5)'!J300</f>
        <v>0</v>
      </c>
      <c r="K259" s="98">
        <f>'NELIOTA (p&lt;0.5)'!M300</f>
        <v>1982.2</v>
      </c>
      <c r="L259" s="93">
        <f t="shared" si="98"/>
        <v>0.55061111111111116</v>
      </c>
      <c r="N259" s="11">
        <v>0</v>
      </c>
      <c r="O259" s="11">
        <v>52.9</v>
      </c>
      <c r="P259" s="9">
        <f t="shared" si="87"/>
        <v>0.8816666666666666</v>
      </c>
      <c r="Q259" s="9">
        <f t="shared" si="88"/>
        <v>0.55015999999999998</v>
      </c>
      <c r="R259" s="9">
        <f t="shared" si="89"/>
        <v>0.55061111111111116</v>
      </c>
      <c r="S259" s="9">
        <f t="shared" si="90"/>
        <v>100.081996348537</v>
      </c>
      <c r="T259" s="9">
        <f t="shared" si="91"/>
        <v>0.55061111111111116</v>
      </c>
      <c r="U259" s="9">
        <f t="shared" si="96"/>
        <v>0.55061111111111116</v>
      </c>
      <c r="V259" s="9">
        <f t="shared" si="97"/>
        <v>0</v>
      </c>
      <c r="W259" s="9">
        <f t="shared" si="94"/>
        <v>0</v>
      </c>
    </row>
    <row r="260" spans="1:28" x14ac:dyDescent="0.25">
      <c r="A260" s="82">
        <f>'NELIOTA (p&lt;0.5)'!A301</f>
        <v>43918</v>
      </c>
      <c r="B260" s="58" t="str">
        <f>'NELIOTA (p&lt;0.5)'!B301</f>
        <v>19:05-20:45</v>
      </c>
      <c r="C260" s="59">
        <f>'NELIOTA (p&lt;0.5)'!C301</f>
        <v>0.16500000000000001</v>
      </c>
      <c r="D260" s="60" t="str">
        <f>'NELIOTA (p&lt;0.5)'!E301</f>
        <v>0</v>
      </c>
      <c r="E260" s="112" t="str">
        <f>'NELIOTA (p&lt;0.5)'!F301</f>
        <v>Cloudiness</v>
      </c>
      <c r="G260" s="8">
        <f>'NELIOTA (p&lt;0.5)'!H301</f>
        <v>0</v>
      </c>
      <c r="H260" s="8">
        <f>'NELIOTA (p&lt;0.5)'!I301</f>
        <v>100</v>
      </c>
      <c r="I260" s="8">
        <f>'NELIOTA (p&lt;0.5)'!J301</f>
        <v>0</v>
      </c>
      <c r="K260" s="98">
        <f>'NELIOTA (p&lt;0.5)'!M301</f>
        <v>0</v>
      </c>
      <c r="L260" s="93">
        <f t="shared" si="98"/>
        <v>0</v>
      </c>
      <c r="N260" s="11">
        <v>1</v>
      </c>
      <c r="O260" s="11">
        <v>40</v>
      </c>
      <c r="P260" s="9">
        <f t="shared" si="87"/>
        <v>1.6666666666666665</v>
      </c>
      <c r="Q260" s="9">
        <f t="shared" si="88"/>
        <v>1.0399999999999998</v>
      </c>
      <c r="R260" s="9">
        <f t="shared" si="89"/>
        <v>1.0399999999999998</v>
      </c>
      <c r="S260" s="9">
        <f t="shared" si="90"/>
        <v>0</v>
      </c>
      <c r="T260" s="9">
        <f t="shared" si="91"/>
        <v>1.0399999999999998</v>
      </c>
      <c r="U260" s="9">
        <f t="shared" si="96"/>
        <v>0</v>
      </c>
      <c r="V260" s="9">
        <f t="shared" si="97"/>
        <v>1.0399999999999998</v>
      </c>
      <c r="W260" s="9">
        <f t="shared" si="94"/>
        <v>0</v>
      </c>
    </row>
    <row r="261" spans="1:28" x14ac:dyDescent="0.25">
      <c r="A261" s="82">
        <f>'NELIOTA (p&lt;0.5)'!A302</f>
        <v>43919</v>
      </c>
      <c r="B261" s="58" t="str">
        <f>'NELIOTA (p&lt;0.5)'!B302</f>
        <v>20:05-22:45</v>
      </c>
      <c r="C261" s="59">
        <f>'NELIOTA (p&lt;0.5)'!C302</f>
        <v>0.247</v>
      </c>
      <c r="D261" s="60" t="str">
        <f>'NELIOTA (p&lt;0.5)'!E302</f>
        <v>2 val + 1 susp</v>
      </c>
      <c r="E261" s="112" t="str">
        <f>'NELIOTA (p&lt;0.5)'!F302</f>
        <v>Very good</v>
      </c>
      <c r="G261" s="8">
        <f>'NELIOTA (p&lt;0.5)'!H302</f>
        <v>100</v>
      </c>
      <c r="H261" s="8">
        <f>'NELIOTA (p&lt;0.5)'!I302</f>
        <v>0</v>
      </c>
      <c r="I261" s="8">
        <f>'NELIOTA (p&lt;0.5)'!J302</f>
        <v>0</v>
      </c>
      <c r="K261" s="98">
        <f>'NELIOTA (p&lt;0.5)'!M302</f>
        <v>5911.18</v>
      </c>
      <c r="L261" s="93">
        <f t="shared" si="98"/>
        <v>1.6419944444444445</v>
      </c>
      <c r="N261" s="11">
        <v>2</v>
      </c>
      <c r="O261" s="11">
        <v>37.89</v>
      </c>
      <c r="P261" s="9">
        <f t="shared" si="87"/>
        <v>2.6315</v>
      </c>
      <c r="Q261" s="9">
        <f t="shared" si="88"/>
        <v>1.642056</v>
      </c>
      <c r="R261" s="9">
        <f t="shared" si="89"/>
        <v>1.6419944444444445</v>
      </c>
      <c r="S261" s="9">
        <f t="shared" si="90"/>
        <v>99.996251312040798</v>
      </c>
      <c r="T261" s="9">
        <f t="shared" si="91"/>
        <v>1.6419944444444445</v>
      </c>
      <c r="U261" s="9">
        <f t="shared" si="96"/>
        <v>1.6419944444444445</v>
      </c>
      <c r="V261" s="9">
        <f t="shared" si="97"/>
        <v>0</v>
      </c>
      <c r="W261" s="9">
        <f t="shared" si="94"/>
        <v>0</v>
      </c>
    </row>
    <row r="262" spans="1:28" x14ac:dyDescent="0.25">
      <c r="A262" s="82">
        <f>'NELIOTA (p&lt;0.5)'!A303</f>
        <v>43920</v>
      </c>
      <c r="B262" s="58" t="str">
        <f>'NELIOTA (p&lt;0.5)'!B303</f>
        <v>20:05-23:40</v>
      </c>
      <c r="C262" s="59">
        <f>'NELIOTA (p&lt;0.5)'!C303</f>
        <v>0.34100000000000003</v>
      </c>
      <c r="D262" s="60" t="str">
        <f>'NELIOTA (p&lt;0.5)'!E303</f>
        <v>0</v>
      </c>
      <c r="E262" s="112" t="str">
        <f>'NELIOTA (p&lt;0.5)'!F303</f>
        <v>Cloudiness</v>
      </c>
      <c r="G262" s="8">
        <f>'NELIOTA (p&lt;0.5)'!H303</f>
        <v>0</v>
      </c>
      <c r="H262" s="8">
        <f>'NELIOTA (p&lt;0.5)'!I303</f>
        <v>100</v>
      </c>
      <c r="I262" s="8">
        <f>'NELIOTA (p&lt;0.5)'!J303</f>
        <v>0</v>
      </c>
      <c r="K262" s="98">
        <f>'NELIOTA (p&lt;0.5)'!M303</f>
        <v>0</v>
      </c>
      <c r="L262" s="93">
        <f t="shared" si="98"/>
        <v>0</v>
      </c>
      <c r="N262" s="11">
        <v>3</v>
      </c>
      <c r="O262" s="11">
        <v>35</v>
      </c>
      <c r="P262" s="9">
        <f t="shared" ref="P262:P263" si="99">N262+O262/60</f>
        <v>3.5833333333333335</v>
      </c>
      <c r="Q262" s="9">
        <f t="shared" ref="Q262:Q265" si="100">P262*62.4%</f>
        <v>2.2360000000000002</v>
      </c>
      <c r="R262" s="9">
        <f t="shared" ref="R262:R263" si="101">IF(G262=100,L262,Q262)</f>
        <v>2.2360000000000002</v>
      </c>
      <c r="S262" s="9">
        <f t="shared" ref="S262:S263" si="102">100*L262/Q262</f>
        <v>0</v>
      </c>
      <c r="T262" s="9">
        <f t="shared" ref="T262:T263" si="103">R262</f>
        <v>2.2360000000000002</v>
      </c>
      <c r="U262" s="9">
        <f t="shared" ref="U262:U263" si="104">L262</f>
        <v>0</v>
      </c>
      <c r="V262" s="9">
        <f t="shared" ref="V262:V263" si="105">T262*H262%</f>
        <v>2.2360000000000002</v>
      </c>
      <c r="W262" s="9">
        <f t="shared" ref="W262:W263" si="106">T262*I262%</f>
        <v>0</v>
      </c>
    </row>
    <row r="263" spans="1:28" x14ac:dyDescent="0.25">
      <c r="A263" s="82">
        <f>'NELIOTA (p&lt;0.5)'!A304</f>
        <v>43921</v>
      </c>
      <c r="B263" s="58" t="str">
        <f>'NELIOTA (p&lt;0.5)'!B304</f>
        <v>20:05-00:35</v>
      </c>
      <c r="C263" s="59">
        <f>'NELIOTA (p&lt;0.5)'!C304</f>
        <v>0.44500000000000001</v>
      </c>
      <c r="D263" s="60" t="str">
        <f>'NELIOTA (p&lt;0.5)'!E304</f>
        <v>0</v>
      </c>
      <c r="E263" s="112" t="str">
        <f>'NELIOTA (p&lt;0.5)'!F304</f>
        <v>Cloudiness</v>
      </c>
      <c r="G263" s="8">
        <f>'NELIOTA (p&lt;0.5)'!H304</f>
        <v>0</v>
      </c>
      <c r="H263" s="8">
        <f>'NELIOTA (p&lt;0.5)'!I304</f>
        <v>100</v>
      </c>
      <c r="I263" s="8">
        <f>'NELIOTA (p&lt;0.5)'!J304</f>
        <v>0</v>
      </c>
      <c r="K263" s="98">
        <f>'NELIOTA (p&lt;0.5)'!M304</f>
        <v>0</v>
      </c>
      <c r="L263" s="93">
        <f t="shared" si="98"/>
        <v>0</v>
      </c>
      <c r="N263" s="11">
        <v>0</v>
      </c>
      <c r="O263" s="11">
        <v>0</v>
      </c>
      <c r="P263" s="9">
        <f t="shared" si="99"/>
        <v>0</v>
      </c>
      <c r="Q263" s="9">
        <f t="shared" si="100"/>
        <v>0</v>
      </c>
      <c r="R263" s="9">
        <f t="shared" si="101"/>
        <v>0</v>
      </c>
      <c r="S263" s="9" t="e">
        <f t="shared" si="102"/>
        <v>#DIV/0!</v>
      </c>
      <c r="T263" s="9">
        <f t="shared" si="103"/>
        <v>0</v>
      </c>
      <c r="U263" s="9">
        <f t="shared" si="104"/>
        <v>0</v>
      </c>
      <c r="V263" s="9">
        <f t="shared" si="105"/>
        <v>0</v>
      </c>
      <c r="W263" s="9">
        <f t="shared" si="106"/>
        <v>0</v>
      </c>
      <c r="X263" s="9">
        <f>SUM(U256:U262)</f>
        <v>5.1458250000000003</v>
      </c>
      <c r="Y263" s="9">
        <f>100*X263/SUM(T256:T262)</f>
        <v>58.306625550750638</v>
      </c>
      <c r="Z263" s="9">
        <f>100*SUM(V256:V262)/SUM(T256:T262)</f>
        <v>37.119899200664442</v>
      </c>
      <c r="AA263" s="9">
        <f>100*SUM(W256:W262)/SUM(T256:T262)</f>
        <v>4.5778852195155952</v>
      </c>
      <c r="AB263" s="96"/>
    </row>
    <row r="264" spans="1:28" s="48" customFormat="1" x14ac:dyDescent="0.25">
      <c r="A264" s="94">
        <f>'NELIOTA (p&lt;0.5)'!A305</f>
        <v>43937</v>
      </c>
      <c r="B264" s="62" t="str">
        <f>'NELIOTA (p&lt;0.5)'!B305</f>
        <v>06:10-06:35</v>
      </c>
      <c r="C264" s="63">
        <f>'NELIOTA (p&lt;0.5)'!C305</f>
        <v>0.38400000000000001</v>
      </c>
      <c r="D264" s="64" t="str">
        <f>'NELIOTA (p&lt;0.5)'!E305</f>
        <v>0</v>
      </c>
      <c r="E264" s="119" t="str">
        <f>'NELIOTA (p&lt;0.5)'!F305</f>
        <v>moderate</v>
      </c>
      <c r="G264" s="24">
        <f>'NELIOTA (p&lt;0.5)'!H305</f>
        <v>90</v>
      </c>
      <c r="H264" s="24">
        <f>'NELIOTA (p&lt;0.5)'!I305</f>
        <v>10</v>
      </c>
      <c r="I264" s="24">
        <f>'NELIOTA (p&lt;0.5)'!J305</f>
        <v>0</v>
      </c>
      <c r="K264" s="101">
        <f>'NELIOTA (p&lt;0.5)'!M305</f>
        <v>736.9</v>
      </c>
      <c r="L264" s="92">
        <f t="shared" ref="L264" si="107">K264/3600</f>
        <v>0.20469444444444443</v>
      </c>
      <c r="N264" s="47">
        <v>0</v>
      </c>
      <c r="O264" s="47">
        <v>25</v>
      </c>
      <c r="P264" s="33">
        <f t="shared" ref="P264" si="108">N264+O264/60</f>
        <v>0.41666666666666669</v>
      </c>
      <c r="Q264" s="33">
        <v>0.22700000000000001</v>
      </c>
      <c r="R264" s="33">
        <f t="shared" ref="R264" si="109">IF(G264=100,L264,Q264)</f>
        <v>0.22700000000000001</v>
      </c>
      <c r="S264" s="33">
        <f t="shared" ref="S264" si="110">100*L264/Q264</f>
        <v>90.173764072442466</v>
      </c>
      <c r="T264" s="33">
        <f t="shared" ref="T264" si="111">R264</f>
        <v>0.22700000000000001</v>
      </c>
      <c r="U264" s="33">
        <f t="shared" ref="U264" si="112">L264</f>
        <v>0.20469444444444443</v>
      </c>
      <c r="V264" s="33">
        <f t="shared" ref="V264" si="113">T264*H264%</f>
        <v>2.2700000000000001E-2</v>
      </c>
      <c r="W264" s="33">
        <f t="shared" ref="W264" si="114">T264*I264%</f>
        <v>0</v>
      </c>
    </row>
    <row r="265" spans="1:28" x14ac:dyDescent="0.25">
      <c r="A265" s="82">
        <f>'NELIOTA (p&lt;0.5)'!A306</f>
        <v>43947</v>
      </c>
      <c r="B265" s="58" t="str">
        <f>'NELIOTA (p&lt;0.5)'!B306</f>
        <v>20:35-21:35</v>
      </c>
      <c r="C265" s="59">
        <f>'NELIOTA (p&lt;0.5)'!C306</f>
        <v>0.123</v>
      </c>
      <c r="D265" s="60" t="str">
        <f>'NELIOTA (p&lt;0.5)'!E306</f>
        <v>0</v>
      </c>
      <c r="E265" s="112" t="str">
        <f>'NELIOTA (p&lt;0.5)'!F306</f>
        <v>Cloudiness</v>
      </c>
      <c r="G265" s="8">
        <f>'NELIOTA (p&lt;0.5)'!H306</f>
        <v>0</v>
      </c>
      <c r="H265" s="8">
        <f>'NELIOTA (p&lt;0.5)'!I306</f>
        <v>100</v>
      </c>
      <c r="I265" s="8">
        <f>'NELIOTA (p&lt;0.5)'!J306</f>
        <v>0</v>
      </c>
      <c r="K265" s="98">
        <f>'NELIOTA (p&lt;0.5)'!M306</f>
        <v>0</v>
      </c>
      <c r="L265" s="93">
        <f t="shared" ref="L265" si="115">K265/3600</f>
        <v>0</v>
      </c>
      <c r="N265" s="11">
        <v>1</v>
      </c>
      <c r="O265" s="11">
        <v>0</v>
      </c>
      <c r="P265" s="9">
        <f t="shared" ref="P265" si="116">N265+O265/60</f>
        <v>1</v>
      </c>
      <c r="Q265" s="9">
        <f t="shared" si="100"/>
        <v>0.624</v>
      </c>
      <c r="R265" s="9">
        <f t="shared" ref="R265" si="117">IF(G265=100,L265,Q265)</f>
        <v>0.624</v>
      </c>
      <c r="S265" s="9">
        <f t="shared" ref="S265" si="118">100*L265/Q265</f>
        <v>0</v>
      </c>
      <c r="T265" s="9">
        <f t="shared" ref="T265" si="119">R265</f>
        <v>0.624</v>
      </c>
      <c r="U265" s="9">
        <f t="shared" ref="U265" si="120">L265</f>
        <v>0</v>
      </c>
      <c r="V265" s="9">
        <f t="shared" ref="V265" si="121">T265*H265%</f>
        <v>0.624</v>
      </c>
      <c r="W265" s="9">
        <f t="shared" ref="W265" si="122">T265*I265%</f>
        <v>0</v>
      </c>
    </row>
    <row r="266" spans="1:28" x14ac:dyDescent="0.25">
      <c r="A266" s="82">
        <f>'NELIOTA (p&lt;0.5)'!A307</f>
        <v>43948</v>
      </c>
      <c r="B266" s="58" t="str">
        <f>'NELIOTA (p&lt;0.5)'!B307</f>
        <v>20:35-22:35</v>
      </c>
      <c r="C266" s="59">
        <f>'NELIOTA (p&lt;0.5)'!C307</f>
        <v>0.2</v>
      </c>
      <c r="D266" s="60" t="str">
        <f>'NELIOTA (p&lt;0.5)'!E307</f>
        <v>0</v>
      </c>
      <c r="E266" s="112" t="str">
        <f>'NELIOTA (p&lt;0.5)'!F307</f>
        <v>Cloudiness</v>
      </c>
      <c r="G266" s="8">
        <f>'NELIOTA (p&lt;0.5)'!H307</f>
        <v>0</v>
      </c>
      <c r="H266" s="8">
        <f>'NELIOTA (p&lt;0.5)'!I307</f>
        <v>100</v>
      </c>
      <c r="I266" s="8">
        <f>'NELIOTA (p&lt;0.5)'!J307</f>
        <v>0</v>
      </c>
      <c r="K266" s="98">
        <f>'NELIOTA (p&lt;0.5)'!M307</f>
        <v>0</v>
      </c>
      <c r="L266" s="93">
        <f t="shared" ref="L266" si="123">K266/3600</f>
        <v>0</v>
      </c>
      <c r="N266" s="11">
        <v>2</v>
      </c>
      <c r="O266" s="11">
        <v>0</v>
      </c>
      <c r="P266" s="9">
        <f t="shared" ref="P266" si="124">N266+O266/60</f>
        <v>2</v>
      </c>
      <c r="Q266" s="9">
        <f t="shared" ref="Q266" si="125">P266*62.4%</f>
        <v>1.248</v>
      </c>
      <c r="R266" s="9">
        <f t="shared" ref="R266" si="126">IF(G266=100,L266,Q266)</f>
        <v>1.248</v>
      </c>
      <c r="S266" s="9">
        <f t="shared" ref="S266" si="127">100*L266/Q266</f>
        <v>0</v>
      </c>
      <c r="T266" s="9">
        <f t="shared" ref="T266" si="128">R266</f>
        <v>1.248</v>
      </c>
      <c r="U266" s="9">
        <f t="shared" ref="U266" si="129">L266</f>
        <v>0</v>
      </c>
      <c r="V266" s="9">
        <f t="shared" ref="V266" si="130">T266*H266%</f>
        <v>1.248</v>
      </c>
      <c r="W266" s="9">
        <f t="shared" ref="W266" si="131">T266*I266%</f>
        <v>0</v>
      </c>
    </row>
    <row r="267" spans="1:28" x14ac:dyDescent="0.25">
      <c r="A267" s="82">
        <f>'NELIOTA (p&lt;0.5)'!A308</f>
        <v>43949</v>
      </c>
      <c r="B267" s="58" t="str">
        <f>'NELIOTA (p&lt;0.5)'!B308</f>
        <v>20:35-23:30</v>
      </c>
      <c r="C267" s="59">
        <f>'NELIOTA (p&lt;0.5)'!C308</f>
        <v>0.29199999999999998</v>
      </c>
      <c r="D267" s="60" t="str">
        <f>'NELIOTA (p&lt;0.5)'!E308</f>
        <v>1 validated</v>
      </c>
      <c r="E267" s="112" t="str">
        <f>'NELIOTA (p&lt;0.5)'!F308</f>
        <v>Very good</v>
      </c>
      <c r="G267" s="8">
        <f>'NELIOTA (p&lt;0.5)'!H308</f>
        <v>46</v>
      </c>
      <c r="H267" s="8">
        <f>'NELIOTA (p&lt;0.5)'!I308</f>
        <v>45</v>
      </c>
      <c r="I267" s="8">
        <f>'NELIOTA (p&lt;0.5)'!J308</f>
        <v>9</v>
      </c>
      <c r="K267" s="98">
        <f>'NELIOTA (p&lt;0.5)'!M308</f>
        <v>3446.4</v>
      </c>
      <c r="L267" s="93">
        <f t="shared" ref="L267" si="132">K267/3600</f>
        <v>0.95733333333333337</v>
      </c>
      <c r="N267" s="11">
        <v>3</v>
      </c>
      <c r="O267" s="11">
        <v>20</v>
      </c>
      <c r="P267" s="9">
        <f t="shared" ref="P267" si="133">N267+O267/60</f>
        <v>3.3333333333333335</v>
      </c>
      <c r="Q267" s="9">
        <f t="shared" ref="Q267" si="134">P267*62.4%</f>
        <v>2.08</v>
      </c>
      <c r="R267" s="9">
        <f t="shared" ref="R267" si="135">IF(G267=100,L267,Q267)</f>
        <v>2.08</v>
      </c>
      <c r="S267" s="9">
        <f t="shared" ref="S267" si="136">100*L267/Q267</f>
        <v>46.025641025641022</v>
      </c>
      <c r="T267" s="9">
        <f t="shared" ref="T267" si="137">R267</f>
        <v>2.08</v>
      </c>
      <c r="U267" s="9">
        <f t="shared" ref="U267" si="138">L267</f>
        <v>0.95733333333333337</v>
      </c>
      <c r="V267" s="9">
        <f t="shared" ref="V267" si="139">T267*H267%</f>
        <v>0.93600000000000005</v>
      </c>
      <c r="W267" s="9">
        <f t="shared" ref="W267" si="140">T267*I267%</f>
        <v>0.18720000000000001</v>
      </c>
    </row>
    <row r="268" spans="1:28" x14ac:dyDescent="0.25">
      <c r="A268" s="82">
        <f>'NELIOTA (p&lt;0.5)'!A309</f>
        <v>43950</v>
      </c>
      <c r="B268" s="58" t="str">
        <f>'NELIOTA (p&lt;0.5)'!B309</f>
        <v>20:35-00:20</v>
      </c>
      <c r="C268" s="59">
        <f>'NELIOTA (p&lt;0.5)'!C309</f>
        <v>0.39600000000000002</v>
      </c>
      <c r="D268" s="60" t="str">
        <f>'NELIOTA (p&lt;0.5)'!E309</f>
        <v>0</v>
      </c>
      <c r="E268" s="112" t="str">
        <f>'NELIOTA (p&lt;0.5)'!F309</f>
        <v>Cloudiness</v>
      </c>
      <c r="G268" s="8">
        <f>'NELIOTA (p&lt;0.5)'!H309</f>
        <v>0</v>
      </c>
      <c r="H268" s="8">
        <f>'NELIOTA (p&lt;0.5)'!I309</f>
        <v>100</v>
      </c>
      <c r="I268" s="8">
        <f>'NELIOTA (p&lt;0.5)'!J309</f>
        <v>0</v>
      </c>
      <c r="K268" s="98">
        <f>'NELIOTA (p&lt;0.5)'!M309</f>
        <v>0</v>
      </c>
      <c r="L268" s="93">
        <f t="shared" ref="L268" si="141">K268/3600</f>
        <v>0</v>
      </c>
      <c r="N268" s="11">
        <v>3</v>
      </c>
      <c r="O268" s="11">
        <v>45</v>
      </c>
      <c r="P268" s="9">
        <f t="shared" ref="P268:P273" si="142">N268+O268/60</f>
        <v>3.75</v>
      </c>
      <c r="Q268" s="9">
        <f t="shared" ref="Q268:Q273" si="143">P268*62.4%</f>
        <v>2.34</v>
      </c>
      <c r="R268" s="9">
        <f t="shared" ref="R268:R273" si="144">IF(G268=100,L268,Q268)</f>
        <v>2.34</v>
      </c>
      <c r="S268" s="9">
        <f t="shared" ref="S268:S273" si="145">100*L268/Q268</f>
        <v>0</v>
      </c>
      <c r="T268" s="9">
        <f t="shared" ref="T268:T273" si="146">R268</f>
        <v>2.34</v>
      </c>
      <c r="U268" s="9">
        <f t="shared" ref="U268:U273" si="147">L268</f>
        <v>0</v>
      </c>
      <c r="V268" s="9">
        <f t="shared" ref="V268:V273" si="148">T268*H268%</f>
        <v>2.34</v>
      </c>
      <c r="W268" s="9">
        <f t="shared" ref="W268:W273" si="149">T268*I268%</f>
        <v>0</v>
      </c>
      <c r="X268" s="9">
        <f>SUM(U264:U268)</f>
        <v>1.1620277777777779</v>
      </c>
      <c r="Y268" s="9">
        <f>100*X268/SUM(T264:T268)</f>
        <v>17.82524586252152</v>
      </c>
      <c r="Z268" s="9">
        <f>100*SUM(V264:V268)/SUM(T264:T268)</f>
        <v>79.317379966252503</v>
      </c>
      <c r="AA268" s="9">
        <f>100*SUM(W264:W268)/SUM(T264:T268)</f>
        <v>2.8716060745513112</v>
      </c>
    </row>
    <row r="269" spans="1:28" s="48" customFormat="1" x14ac:dyDescent="0.25">
      <c r="A269" s="94">
        <f>'NELIOTA (p&lt;0.5)'!A310</f>
        <v>43966</v>
      </c>
      <c r="B269" s="62" t="str">
        <f>'NELIOTA (p&lt;0.5)'!B310</f>
        <v>05:10-06:00</v>
      </c>
      <c r="C269" s="63">
        <f>'NELIOTA (p&lt;0.5)'!C310</f>
        <v>0.45100000000000001</v>
      </c>
      <c r="D269" s="64" t="str">
        <f>'NELIOTA (p&lt;0.5)'!E310</f>
        <v>0</v>
      </c>
      <c r="E269" s="119" t="str">
        <f>'NELIOTA (p&lt;0.5)'!F310</f>
        <v>Cloudiness</v>
      </c>
      <c r="G269" s="24">
        <f>'NELIOTA (p&lt;0.5)'!H310</f>
        <v>0</v>
      </c>
      <c r="H269" s="24">
        <f>'NELIOTA (p&lt;0.5)'!I310</f>
        <v>100</v>
      </c>
      <c r="I269" s="24">
        <f>'NELIOTA (p&lt;0.5)'!J310</f>
        <v>0</v>
      </c>
      <c r="K269" s="101">
        <f>'NELIOTA (p&lt;0.5)'!M310</f>
        <v>0</v>
      </c>
      <c r="L269" s="92">
        <f t="shared" ref="L269:L273" si="150">K269/3600</f>
        <v>0</v>
      </c>
      <c r="N269" s="47">
        <v>0</v>
      </c>
      <c r="O269" s="47">
        <v>50</v>
      </c>
      <c r="P269" s="33">
        <f t="shared" si="142"/>
        <v>0.83333333333333337</v>
      </c>
      <c r="Q269" s="33">
        <f t="shared" si="143"/>
        <v>0.52</v>
      </c>
      <c r="R269" s="33">
        <f t="shared" si="144"/>
        <v>0.52</v>
      </c>
      <c r="S269" s="33">
        <f t="shared" si="145"/>
        <v>0</v>
      </c>
      <c r="T269" s="33">
        <f t="shared" si="146"/>
        <v>0.52</v>
      </c>
      <c r="U269" s="33">
        <f t="shared" si="147"/>
        <v>0</v>
      </c>
      <c r="V269" s="33">
        <f t="shared" si="148"/>
        <v>0.52</v>
      </c>
      <c r="W269" s="33">
        <f t="shared" si="149"/>
        <v>0</v>
      </c>
    </row>
    <row r="270" spans="1:28" x14ac:dyDescent="0.25">
      <c r="A270" s="82">
        <f>'NELIOTA (p&lt;0.5)'!A311</f>
        <v>43967</v>
      </c>
      <c r="B270" s="58" t="str">
        <f>'NELIOTA (p&lt;0.5)'!B311</f>
        <v>05:30-06:00</v>
      </c>
      <c r="C270" s="59">
        <f>'NELIOTA (p&lt;0.5)'!C311</f>
        <v>0.35499999999999998</v>
      </c>
      <c r="D270" s="60" t="str">
        <f>'NELIOTA (p&lt;0.5)'!E311</f>
        <v>0</v>
      </c>
      <c r="E270" s="112" t="str">
        <f>'NELIOTA (p&lt;0.5)'!F311</f>
        <v>Cloudiness</v>
      </c>
      <c r="G270" s="8">
        <f>'NELIOTA (p&lt;0.5)'!H311</f>
        <v>0</v>
      </c>
      <c r="H270" s="8">
        <f>'NELIOTA (p&lt;0.5)'!I311</f>
        <v>100</v>
      </c>
      <c r="I270" s="8">
        <f>'NELIOTA (p&lt;0.5)'!J311</f>
        <v>0</v>
      </c>
      <c r="K270" s="98">
        <f>'NELIOTA (p&lt;0.5)'!M311</f>
        <v>0</v>
      </c>
      <c r="L270" s="93">
        <f t="shared" si="150"/>
        <v>0</v>
      </c>
      <c r="N270" s="11">
        <v>0</v>
      </c>
      <c r="O270" s="11">
        <v>30</v>
      </c>
      <c r="P270" s="9">
        <f t="shared" si="142"/>
        <v>0.5</v>
      </c>
      <c r="Q270" s="9">
        <f t="shared" si="143"/>
        <v>0.312</v>
      </c>
      <c r="R270" s="9">
        <f t="shared" si="144"/>
        <v>0.312</v>
      </c>
      <c r="S270" s="9">
        <f t="shared" si="145"/>
        <v>0</v>
      </c>
      <c r="T270" s="9">
        <f t="shared" si="146"/>
        <v>0.312</v>
      </c>
      <c r="U270" s="9">
        <f t="shared" si="147"/>
        <v>0</v>
      </c>
      <c r="V270" s="9">
        <f t="shared" si="148"/>
        <v>0.312</v>
      </c>
      <c r="W270" s="9">
        <f t="shared" si="149"/>
        <v>0</v>
      </c>
    </row>
    <row r="271" spans="1:28" x14ac:dyDescent="0.25">
      <c r="A271" s="82">
        <f>'NELIOTA (p&lt;0.5)'!A312</f>
        <v>43977</v>
      </c>
      <c r="B271" s="58" t="str">
        <f>'NELIOTA (p&lt;0.5)'!B312</f>
        <v>21:05-22:20</v>
      </c>
      <c r="C271" s="59">
        <f>'NELIOTA (p&lt;0.5)'!C312</f>
        <v>0.16600000000000001</v>
      </c>
      <c r="D271" s="60" t="str">
        <f>'NELIOTA (p&lt;0.5)'!E312</f>
        <v>0</v>
      </c>
      <c r="E271" s="112" t="str">
        <f>'NELIOTA (p&lt;0.5)'!F312</f>
        <v>Cloudiness</v>
      </c>
      <c r="G271" s="8">
        <f>'NELIOTA (p&lt;0.5)'!H312</f>
        <v>0</v>
      </c>
      <c r="H271" s="8">
        <f>'NELIOTA (p&lt;0.5)'!I312</f>
        <v>100</v>
      </c>
      <c r="I271" s="8">
        <f>'NELIOTA (p&lt;0.5)'!J312</f>
        <v>0</v>
      </c>
      <c r="K271" s="98">
        <f>'NELIOTA (p&lt;0.5)'!M312</f>
        <v>0</v>
      </c>
      <c r="L271" s="93">
        <f t="shared" si="150"/>
        <v>0</v>
      </c>
      <c r="N271" s="11">
        <v>1</v>
      </c>
      <c r="O271" s="11">
        <v>15</v>
      </c>
      <c r="P271" s="9">
        <f t="shared" si="142"/>
        <v>1.25</v>
      </c>
      <c r="Q271" s="9">
        <f t="shared" si="143"/>
        <v>0.78</v>
      </c>
      <c r="R271" s="9">
        <f t="shared" si="144"/>
        <v>0.78</v>
      </c>
      <c r="S271" s="9">
        <f t="shared" si="145"/>
        <v>0</v>
      </c>
      <c r="T271" s="9">
        <f t="shared" si="146"/>
        <v>0.78</v>
      </c>
      <c r="U271" s="9">
        <f t="shared" si="147"/>
        <v>0</v>
      </c>
      <c r="V271" s="9">
        <f t="shared" si="148"/>
        <v>0.78</v>
      </c>
      <c r="W271" s="9">
        <f t="shared" si="149"/>
        <v>0</v>
      </c>
    </row>
    <row r="272" spans="1:28" x14ac:dyDescent="0.25">
      <c r="A272" s="82">
        <f>'NELIOTA (p&lt;0.5)'!A313</f>
        <v>43978</v>
      </c>
      <c r="B272" s="58" t="str">
        <f>'NELIOTA (p&lt;0.5)'!B313</f>
        <v>21:05-23:05</v>
      </c>
      <c r="C272" s="59">
        <f>'NELIOTA (p&lt;0.5)'!C313</f>
        <v>0.25600000000000001</v>
      </c>
      <c r="D272" s="60" t="str">
        <f>'NELIOTA (p&lt;0.5)'!E313</f>
        <v>0</v>
      </c>
      <c r="E272" s="112" t="str">
        <f>'NELIOTA (p&lt;0.5)'!F313</f>
        <v>Cloudiness</v>
      </c>
      <c r="G272" s="8">
        <f>'NELIOTA (p&lt;0.5)'!H313</f>
        <v>0</v>
      </c>
      <c r="H272" s="8">
        <f>'NELIOTA (p&lt;0.5)'!I313</f>
        <v>100</v>
      </c>
      <c r="I272" s="8">
        <f>'NELIOTA (p&lt;0.5)'!J313</f>
        <v>0</v>
      </c>
      <c r="K272" s="98">
        <f>'NELIOTA (p&lt;0.5)'!M313</f>
        <v>0</v>
      </c>
      <c r="L272" s="93">
        <f t="shared" si="150"/>
        <v>0</v>
      </c>
      <c r="N272" s="11">
        <v>2</v>
      </c>
      <c r="O272" s="11">
        <v>0</v>
      </c>
      <c r="P272" s="9">
        <f t="shared" si="142"/>
        <v>2</v>
      </c>
      <c r="Q272" s="9">
        <f t="shared" si="143"/>
        <v>1.248</v>
      </c>
      <c r="R272" s="9">
        <f t="shared" si="144"/>
        <v>1.248</v>
      </c>
      <c r="S272" s="9">
        <f t="shared" si="145"/>
        <v>0</v>
      </c>
      <c r="T272" s="9">
        <f t="shared" si="146"/>
        <v>1.248</v>
      </c>
      <c r="U272" s="9">
        <f t="shared" si="147"/>
        <v>0</v>
      </c>
      <c r="V272" s="9">
        <f t="shared" si="148"/>
        <v>1.248</v>
      </c>
      <c r="W272" s="9">
        <f t="shared" si="149"/>
        <v>0</v>
      </c>
    </row>
    <row r="273" spans="1:27" x14ac:dyDescent="0.25">
      <c r="A273" s="82">
        <f>'NELIOTA (p&lt;0.5)'!A314</f>
        <v>43979</v>
      </c>
      <c r="B273" s="58" t="str">
        <f>'NELIOTA (p&lt;0.5)'!B314</f>
        <v>21:05-23:50</v>
      </c>
      <c r="C273" s="59">
        <f>'NELIOTA (p&lt;0.5)'!C314</f>
        <v>0.36</v>
      </c>
      <c r="D273" s="60" t="str">
        <f>'NELIOTA (p&lt;0.5)'!E314</f>
        <v>0</v>
      </c>
      <c r="E273" s="112" t="str">
        <f>'NELIOTA (p&lt;0.5)'!F314</f>
        <v>good</v>
      </c>
      <c r="G273" s="8">
        <f>'NELIOTA (p&lt;0.5)'!H314</f>
        <v>100</v>
      </c>
      <c r="H273" s="8">
        <f>'NELIOTA (p&lt;0.5)'!I314</f>
        <v>0</v>
      </c>
      <c r="I273" s="8">
        <f>'NELIOTA (p&lt;0.5)'!J314</f>
        <v>0</v>
      </c>
      <c r="K273" s="98">
        <f>'NELIOTA (p&lt;0.5)'!M314</f>
        <v>6035.9</v>
      </c>
      <c r="L273" s="93">
        <f t="shared" si="150"/>
        <v>1.6766388888888888</v>
      </c>
      <c r="N273" s="11">
        <v>2</v>
      </c>
      <c r="O273" s="11">
        <v>41.21</v>
      </c>
      <c r="P273" s="9">
        <f t="shared" si="142"/>
        <v>2.6868333333333334</v>
      </c>
      <c r="Q273" s="9">
        <f t="shared" si="143"/>
        <v>1.6765840000000001</v>
      </c>
      <c r="R273" s="9">
        <f t="shared" si="144"/>
        <v>1.6766388888888888</v>
      </c>
      <c r="S273" s="9">
        <f t="shared" si="145"/>
        <v>100.00327385260081</v>
      </c>
      <c r="T273" s="9">
        <f t="shared" si="146"/>
        <v>1.6766388888888888</v>
      </c>
      <c r="U273" s="9">
        <f t="shared" si="147"/>
        <v>1.6766388888888888</v>
      </c>
      <c r="V273" s="9">
        <f t="shared" si="148"/>
        <v>0</v>
      </c>
      <c r="W273" s="9">
        <f t="shared" si="149"/>
        <v>0</v>
      </c>
      <c r="X273" s="9">
        <f>SUM(U269:U273)</f>
        <v>1.6766388888888888</v>
      </c>
      <c r="Y273" s="9">
        <f>100*X273/SUM(T269:T273)</f>
        <v>36.957733025551214</v>
      </c>
      <c r="Z273" s="9">
        <f>100*SUM(V269:V273)/SUM(T269:T273)</f>
        <v>63.042266974448779</v>
      </c>
      <c r="AA273" s="9">
        <f>100*SUM(W269:W273)/SUM(T269:T273)</f>
        <v>0</v>
      </c>
    </row>
    <row r="274" spans="1:27" s="48" customFormat="1" x14ac:dyDescent="0.25">
      <c r="A274" s="94">
        <f>'NELIOTA (p&lt;0.5)'!A315</f>
        <v>43996</v>
      </c>
      <c r="B274" s="62" t="str">
        <f>'NELIOTA (p&lt;0.5)'!B315</f>
        <v>04:15-05:45</v>
      </c>
      <c r="C274" s="63">
        <f>'NELIOTA (p&lt;0.5)'!C315</f>
        <v>0.42599999999999999</v>
      </c>
      <c r="D274" s="64" t="str">
        <f>'NELIOTA (p&lt;0.5)'!E315</f>
        <v>0</v>
      </c>
      <c r="E274" s="119" t="str">
        <f>'NELIOTA (p&lt;0.5)'!F315</f>
        <v>good</v>
      </c>
      <c r="G274" s="24">
        <f>'NELIOTA (p&lt;0.5)'!H315</f>
        <v>100</v>
      </c>
      <c r="H274" s="24">
        <f>'NELIOTA (p&lt;0.5)'!I315</f>
        <v>0</v>
      </c>
      <c r="I274" s="24">
        <f>'NELIOTA (p&lt;0.5)'!J315</f>
        <v>0</v>
      </c>
      <c r="K274" s="101">
        <f>'NELIOTA (p&lt;0.5)'!M315</f>
        <v>3386.5</v>
      </c>
      <c r="L274" s="92">
        <f t="shared" ref="L274" si="151">K274/3600</f>
        <v>0.9406944444444445</v>
      </c>
      <c r="N274" s="47">
        <v>1</v>
      </c>
      <c r="O274" s="47">
        <v>30.45</v>
      </c>
      <c r="P274" s="33">
        <f t="shared" ref="P274" si="152">N274+O274/60</f>
        <v>1.5074999999999998</v>
      </c>
      <c r="Q274" s="33">
        <f t="shared" ref="Q274" si="153">P274*62.4%</f>
        <v>0.94067999999999985</v>
      </c>
      <c r="R274" s="33">
        <f t="shared" ref="R274" si="154">IF(G274=100,L274,Q274)</f>
        <v>0.9406944444444445</v>
      </c>
      <c r="S274" s="33">
        <f t="shared" ref="S274" si="155">100*L274/Q274</f>
        <v>100.0015355322155</v>
      </c>
      <c r="T274" s="33">
        <f t="shared" ref="T274" si="156">R274</f>
        <v>0.9406944444444445</v>
      </c>
      <c r="U274" s="33">
        <f t="shared" ref="U274" si="157">L274</f>
        <v>0.9406944444444445</v>
      </c>
      <c r="V274" s="33">
        <f t="shared" ref="V274" si="158">T274*H274%</f>
        <v>0</v>
      </c>
      <c r="W274" s="33">
        <f t="shared" ref="W274" si="159">T274*I274%</f>
        <v>0</v>
      </c>
      <c r="X274" s="33"/>
      <c r="Y274" s="33"/>
      <c r="Z274" s="33"/>
      <c r="AA274" s="33"/>
    </row>
    <row r="275" spans="1:27" x14ac:dyDescent="0.25">
      <c r="A275" s="82">
        <f>'NELIOTA (p&lt;0.5)'!A316</f>
        <v>43997</v>
      </c>
      <c r="B275" s="58" t="str">
        <f>'NELIOTA (p&lt;0.5)'!B316</f>
        <v>04:40-05:45</v>
      </c>
      <c r="C275" s="59">
        <f>'NELIOTA (p&lt;0.5)'!C316</f>
        <v>0.33300000000000002</v>
      </c>
      <c r="D275" s="60" t="str">
        <f>'NELIOTA (p&lt;0.5)'!E316</f>
        <v>1 susp</v>
      </c>
      <c r="E275" s="112" t="str">
        <f>'NELIOTA (p&lt;0.5)'!F316</f>
        <v>good</v>
      </c>
      <c r="G275" s="8">
        <f>'NELIOTA (p&lt;0.5)'!H316</f>
        <v>100</v>
      </c>
      <c r="H275" s="8">
        <f>'NELIOTA (p&lt;0.5)'!I316</f>
        <v>0</v>
      </c>
      <c r="I275" s="8">
        <f>'NELIOTA (p&lt;0.5)'!J316</f>
        <v>0</v>
      </c>
      <c r="K275" s="98">
        <f>'NELIOTA (p&lt;0.5)'!M316</f>
        <v>2387.9</v>
      </c>
      <c r="L275" s="93">
        <f t="shared" ref="L275" si="160">K275/3600</f>
        <v>0.66330555555555559</v>
      </c>
      <c r="N275" s="11">
        <v>1</v>
      </c>
      <c r="O275" s="11">
        <v>3.78</v>
      </c>
      <c r="P275" s="9">
        <f t="shared" ref="P275" si="161">N275+O275/60</f>
        <v>1.0629999999999999</v>
      </c>
      <c r="Q275" s="9">
        <f t="shared" ref="Q275" si="162">P275*62.4%</f>
        <v>0.66331200000000001</v>
      </c>
      <c r="R275" s="9">
        <f t="shared" ref="R275" si="163">IF(G275=100,L275,Q275)</f>
        <v>0.66330555555555559</v>
      </c>
      <c r="S275" s="9">
        <f t="shared" ref="S275" si="164">100*L275/Q275</f>
        <v>99.999028444465893</v>
      </c>
      <c r="T275" s="9">
        <f t="shared" ref="T275" si="165">R275</f>
        <v>0.66330555555555559</v>
      </c>
      <c r="U275" s="9">
        <f t="shared" ref="U275" si="166">L275</f>
        <v>0.66330555555555559</v>
      </c>
      <c r="V275" s="9">
        <f t="shared" ref="V275" si="167">T275*H275%</f>
        <v>0</v>
      </c>
      <c r="W275" s="9">
        <f t="shared" ref="W275" si="168">T275*I275%</f>
        <v>0</v>
      </c>
      <c r="X275" s="9"/>
      <c r="Y275" s="9"/>
      <c r="Z275" s="9"/>
      <c r="AA275" s="9"/>
    </row>
    <row r="276" spans="1:27" x14ac:dyDescent="0.25">
      <c r="A276" s="82">
        <f>'NELIOTA (p&lt;0.5)'!A317</f>
        <v>43998</v>
      </c>
      <c r="B276" s="58" t="str">
        <f>'NELIOTA (p&lt;0.5)'!B317</f>
        <v>05:05-05:45</v>
      </c>
      <c r="C276" s="59">
        <f>'NELIOTA (p&lt;0.5)'!C317</f>
        <v>0.246</v>
      </c>
      <c r="D276" s="60" t="str">
        <f>'NELIOTA (p&lt;0.5)'!E317</f>
        <v>1 susp</v>
      </c>
      <c r="E276" s="112" t="str">
        <f>'NELIOTA (p&lt;0.5)'!F317</f>
        <v>moderate</v>
      </c>
      <c r="G276" s="8">
        <f>'NELIOTA (p&lt;0.5)'!H317</f>
        <v>100</v>
      </c>
      <c r="H276" s="8">
        <f>'NELIOTA (p&lt;0.5)'!I317</f>
        <v>0</v>
      </c>
      <c r="I276" s="8">
        <f>'NELIOTA (p&lt;0.5)'!J317</f>
        <v>0</v>
      </c>
      <c r="K276" s="98">
        <f>'NELIOTA (p&lt;0.5)'!M317</f>
        <v>1515.26</v>
      </c>
      <c r="L276" s="93">
        <f t="shared" ref="L276" si="169">K276/3600</f>
        <v>0.42090555555555553</v>
      </c>
      <c r="N276" s="11">
        <v>0</v>
      </c>
      <c r="O276" s="11">
        <v>40.47</v>
      </c>
      <c r="P276" s="9">
        <f t="shared" ref="P276" si="170">N276+O276/60</f>
        <v>0.67449999999999999</v>
      </c>
      <c r="Q276" s="9">
        <f t="shared" ref="Q276" si="171">P276*62.4%</f>
        <v>0.42088799999999998</v>
      </c>
      <c r="R276" s="9">
        <f t="shared" ref="R276" si="172">IF(G276=100,L276,Q276)</f>
        <v>0.42090555555555553</v>
      </c>
      <c r="S276" s="9">
        <f t="shared" ref="S276" si="173">100*L276/Q276</f>
        <v>100.0041710753349</v>
      </c>
      <c r="T276" s="9">
        <f t="shared" ref="T276" si="174">R276</f>
        <v>0.42090555555555553</v>
      </c>
      <c r="U276" s="9">
        <f t="shared" ref="U276" si="175">L276</f>
        <v>0.42090555555555553</v>
      </c>
      <c r="V276" s="9">
        <f t="shared" ref="V276" si="176">T276*H276%</f>
        <v>0</v>
      </c>
      <c r="W276" s="9">
        <f t="shared" ref="W276" si="177">T276*I276%</f>
        <v>0</v>
      </c>
      <c r="X276" s="9"/>
      <c r="Y276" s="9"/>
      <c r="Z276" s="9"/>
      <c r="AA276" s="9"/>
    </row>
    <row r="277" spans="1:27" x14ac:dyDescent="0.25">
      <c r="A277" s="82">
        <f>'NELIOTA (p&lt;0.5)'!A318</f>
        <v>44006</v>
      </c>
      <c r="B277" s="58" t="str">
        <f>'NELIOTA (p&lt;0.5)'!B318</f>
        <v>21:15-21:50</v>
      </c>
      <c r="C277" s="59">
        <f>'NELIOTA (p&lt;0.5)'!C318</f>
        <v>0.13900000000000001</v>
      </c>
      <c r="D277" s="60" t="str">
        <f>'NELIOTA (p&lt;0.5)'!E318</f>
        <v>0</v>
      </c>
      <c r="E277" s="112" t="str">
        <f>'NELIOTA (p&lt;0.5)'!F318</f>
        <v>Cloudiness</v>
      </c>
      <c r="G277" s="8">
        <f>'NELIOTA (p&lt;0.5)'!H318</f>
        <v>0</v>
      </c>
      <c r="H277" s="8">
        <f>'NELIOTA (p&lt;0.5)'!I318</f>
        <v>100</v>
      </c>
      <c r="I277" s="8">
        <f>'NELIOTA (p&lt;0.5)'!J318</f>
        <v>0</v>
      </c>
      <c r="K277" s="98">
        <f>'NELIOTA (p&lt;0.5)'!M318</f>
        <v>0</v>
      </c>
      <c r="L277" s="93">
        <f t="shared" ref="L277" si="178">K277/3600</f>
        <v>0</v>
      </c>
      <c r="N277" s="11">
        <v>0</v>
      </c>
      <c r="O277" s="11">
        <v>35</v>
      </c>
      <c r="P277" s="9">
        <f t="shared" ref="P277" si="179">N277+O277/60</f>
        <v>0.58333333333333337</v>
      </c>
      <c r="Q277" s="9">
        <f t="shared" ref="Q277" si="180">P277*62.4%</f>
        <v>0.36400000000000005</v>
      </c>
      <c r="R277" s="9">
        <f t="shared" ref="R277" si="181">IF(G277=100,L277,Q277)</f>
        <v>0.36400000000000005</v>
      </c>
      <c r="S277" s="9">
        <f t="shared" ref="S277" si="182">100*L277/Q277</f>
        <v>0</v>
      </c>
      <c r="T277" s="9">
        <f t="shared" ref="T277" si="183">R277</f>
        <v>0.36400000000000005</v>
      </c>
      <c r="U277" s="9">
        <f t="shared" ref="U277" si="184">L277</f>
        <v>0</v>
      </c>
      <c r="V277" s="9">
        <f t="shared" ref="V277" si="185">T277*H277%</f>
        <v>0.36400000000000005</v>
      </c>
      <c r="W277" s="9">
        <f t="shared" ref="W277" si="186">T277*I277%</f>
        <v>0</v>
      </c>
      <c r="X277" s="9"/>
      <c r="Y277" s="9"/>
      <c r="Z277" s="9"/>
      <c r="AA277" s="9"/>
    </row>
    <row r="278" spans="1:27" x14ac:dyDescent="0.25">
      <c r="A278" s="82">
        <f>'NELIOTA (p&lt;0.5)'!A319</f>
        <v>44007</v>
      </c>
      <c r="B278" s="58" t="str">
        <f>'NELIOTA (p&lt;0.5)'!B319</f>
        <v>21:15-22:35</v>
      </c>
      <c r="C278" s="59">
        <f>'NELIOTA (p&lt;0.5)'!C319</f>
        <v>0.22800000000000001</v>
      </c>
      <c r="D278" s="60" t="str">
        <f>'NELIOTA (p&lt;0.5)'!E319</f>
        <v>1 val + 1 susp</v>
      </c>
      <c r="E278" s="112" t="str">
        <f>'NELIOTA (p&lt;0.5)'!F319</f>
        <v>Very good</v>
      </c>
      <c r="G278" s="8">
        <f>'NELIOTA (p&lt;0.5)'!H319</f>
        <v>100</v>
      </c>
      <c r="H278" s="8">
        <f>'NELIOTA (p&lt;0.5)'!I319</f>
        <v>0</v>
      </c>
      <c r="I278" s="8">
        <f>'NELIOTA (p&lt;0.5)'!J319</f>
        <v>0</v>
      </c>
      <c r="K278" s="98">
        <f>'NELIOTA (p&lt;0.5)'!M319</f>
        <v>2996.26</v>
      </c>
      <c r="L278" s="93">
        <f t="shared" ref="L278" si="187">K278/3600</f>
        <v>0.83229444444444456</v>
      </c>
      <c r="N278" s="11">
        <v>1</v>
      </c>
      <c r="O278" s="11">
        <v>20.03</v>
      </c>
      <c r="P278" s="9">
        <f t="shared" ref="P278" si="188">N278+O278/60</f>
        <v>1.3338333333333334</v>
      </c>
      <c r="Q278" s="9">
        <f t="shared" ref="Q278" si="189">P278*62.4%</f>
        <v>0.83231200000000005</v>
      </c>
      <c r="R278" s="9">
        <f t="shared" ref="R278" si="190">IF(G278=100,L278,Q278)</f>
        <v>0.83229444444444456</v>
      </c>
      <c r="S278" s="9">
        <f t="shared" ref="S278" si="191">100*L278/Q278</f>
        <v>99.997890748234369</v>
      </c>
      <c r="T278" s="9">
        <f t="shared" ref="T278" si="192">R278</f>
        <v>0.83229444444444456</v>
      </c>
      <c r="U278" s="9">
        <f t="shared" ref="U278" si="193">L278</f>
        <v>0.83229444444444456</v>
      </c>
      <c r="V278" s="9">
        <f t="shared" ref="V278" si="194">T278*H278%</f>
        <v>0</v>
      </c>
      <c r="W278" s="9">
        <f t="shared" ref="W278" si="195">T278*I278%</f>
        <v>0</v>
      </c>
      <c r="X278" s="9"/>
      <c r="Y278" s="9"/>
      <c r="Z278" s="9"/>
      <c r="AA278" s="9"/>
    </row>
    <row r="279" spans="1:27" x14ac:dyDescent="0.25">
      <c r="A279" s="82">
        <f>'NELIOTA (p&lt;0.5)'!A320</f>
        <v>44008</v>
      </c>
      <c r="B279" s="58" t="str">
        <f>'NELIOTA (p&lt;0.5)'!B320</f>
        <v>21:15-23:10</v>
      </c>
      <c r="C279" s="59">
        <f>'NELIOTA (p&lt;0.5)'!C320</f>
        <v>0.33200000000000002</v>
      </c>
      <c r="D279" s="60" t="str">
        <f>'NELIOTA (p&lt;0.5)'!E320</f>
        <v>1 validated</v>
      </c>
      <c r="E279" s="112" t="str">
        <f>'NELIOTA (p&lt;0.5)'!F320</f>
        <v>good</v>
      </c>
      <c r="G279" s="8">
        <f>'NELIOTA (p&lt;0.5)'!H320</f>
        <v>100</v>
      </c>
      <c r="H279" s="8">
        <f>'NELIOTA (p&lt;0.5)'!I320</f>
        <v>0</v>
      </c>
      <c r="I279" s="8">
        <f>'NELIOTA (p&lt;0.5)'!J320</f>
        <v>0</v>
      </c>
      <c r="K279" s="98">
        <f>'NELIOTA (p&lt;0.5)'!M320</f>
        <v>4384.076</v>
      </c>
      <c r="L279" s="93">
        <f t="shared" ref="L279" si="196">K279/3600</f>
        <v>1.2177988888888889</v>
      </c>
      <c r="N279" s="11">
        <v>1</v>
      </c>
      <c r="O279" s="11">
        <v>57.1</v>
      </c>
      <c r="P279" s="9">
        <f t="shared" ref="P279" si="197">N279+O279/60</f>
        <v>1.9516666666666667</v>
      </c>
      <c r="Q279" s="9">
        <f t="shared" ref="Q279" si="198">P279*62.4%</f>
        <v>1.21784</v>
      </c>
      <c r="R279" s="9">
        <f t="shared" ref="R279" si="199">IF(G279=100,L279,Q279)</f>
        <v>1.2177988888888889</v>
      </c>
      <c r="S279" s="9">
        <f t="shared" ref="S279" si="200">100*L279/Q279</f>
        <v>99.996624260074299</v>
      </c>
      <c r="T279" s="9">
        <f t="shared" ref="T279" si="201">R279</f>
        <v>1.2177988888888889</v>
      </c>
      <c r="U279" s="9">
        <f t="shared" ref="U279" si="202">L279</f>
        <v>1.2177988888888889</v>
      </c>
      <c r="V279" s="9">
        <f t="shared" ref="V279" si="203">T279*H279%</f>
        <v>0</v>
      </c>
      <c r="W279" s="9">
        <f t="shared" ref="W279" si="204">T279*I279%</f>
        <v>0</v>
      </c>
      <c r="X279" s="9"/>
      <c r="Y279" s="9"/>
      <c r="Z279" s="9"/>
      <c r="AA279" s="9"/>
    </row>
    <row r="280" spans="1:27" x14ac:dyDescent="0.25">
      <c r="A280" s="82">
        <f>'NELIOTA (p&lt;0.5)'!A321</f>
        <v>44009</v>
      </c>
      <c r="B280" s="58" t="str">
        <f>'NELIOTA (p&lt;0.5)'!B321</f>
        <v>21:15-23:40</v>
      </c>
      <c r="C280" s="59">
        <f>'NELIOTA (p&lt;0.5)'!C321</f>
        <v>0.44500000000000001</v>
      </c>
      <c r="D280" s="60" t="str">
        <f>'NELIOTA (p&lt;0.5)'!E321</f>
        <v>0</v>
      </c>
      <c r="E280" s="112" t="str">
        <f>'NELIOTA (p&lt;0.5)'!F321</f>
        <v>good</v>
      </c>
      <c r="G280" s="8">
        <f>'NELIOTA (p&lt;0.5)'!H321</f>
        <v>100</v>
      </c>
      <c r="H280" s="8">
        <f>'NELIOTA (p&lt;0.5)'!I321</f>
        <v>0</v>
      </c>
      <c r="I280" s="8">
        <f>'NELIOTA (p&lt;0.5)'!J321</f>
        <v>0</v>
      </c>
      <c r="K280" s="98">
        <f>'NELIOTA (p&lt;0.5)'!M321</f>
        <v>5614.3</v>
      </c>
      <c r="L280" s="93">
        <f t="shared" ref="L280" si="205">K280/3600</f>
        <v>1.5595277777777778</v>
      </c>
      <c r="N280" s="11">
        <v>2</v>
      </c>
      <c r="O280" s="11">
        <v>29.95</v>
      </c>
      <c r="P280" s="9">
        <f t="shared" ref="P280" si="206">N280+O280/60</f>
        <v>2.4991666666666665</v>
      </c>
      <c r="Q280" s="9">
        <f t="shared" ref="Q280" si="207">P280*62.4%</f>
        <v>1.55948</v>
      </c>
      <c r="R280" s="9">
        <f t="shared" ref="R280" si="208">IF(G280=100,L280,Q280)</f>
        <v>1.5595277777777778</v>
      </c>
      <c r="S280" s="9">
        <f t="shared" ref="S280" si="209">100*L280/Q280</f>
        <v>100.00306369929578</v>
      </c>
      <c r="T280" s="9">
        <f t="shared" ref="T280" si="210">R280</f>
        <v>1.5595277777777778</v>
      </c>
      <c r="U280" s="9">
        <f t="shared" ref="U280" si="211">L280</f>
        <v>1.5595277777777778</v>
      </c>
      <c r="V280" s="9">
        <f t="shared" ref="V280" si="212">T280*H280%</f>
        <v>0</v>
      </c>
      <c r="W280" s="9">
        <f t="shared" ref="W280" si="213">T280*I280%</f>
        <v>0</v>
      </c>
      <c r="X280" s="9">
        <f>SUM(U274:U280)</f>
        <v>5.634526666666666</v>
      </c>
      <c r="Y280" s="9">
        <f>100*X280/SUM(T274:T280)</f>
        <v>93.931843263734748</v>
      </c>
      <c r="Z280" s="9">
        <f>100*SUM(V274:V280)/SUM(T274:T280)</f>
        <v>6.0681567362652391</v>
      </c>
      <c r="AA280" s="9">
        <f>100*SUM(W274:W280)/SUM(T274:T280)</f>
        <v>0</v>
      </c>
    </row>
    <row r="281" spans="1:27" s="48" customFormat="1" x14ac:dyDescent="0.25">
      <c r="A281" s="94">
        <f>'NELIOTA (p&lt;0.5)'!A322</f>
        <v>44026</v>
      </c>
      <c r="B281" s="62" t="str">
        <f>'NELIOTA (p&lt;0.5)'!B322</f>
        <v>03:30-06:00</v>
      </c>
      <c r="C281" s="63">
        <f>'NELIOTA (p&lt;0.5)'!C322</f>
        <v>0.40300000000000002</v>
      </c>
      <c r="D281" s="64" t="str">
        <f>'NELIOTA (p&lt;0.5)'!E322</f>
        <v>0</v>
      </c>
      <c r="E281" s="119" t="str">
        <f>'NELIOTA (p&lt;0.5)'!F322</f>
        <v>Cloudiness</v>
      </c>
      <c r="G281" s="24">
        <f>'NELIOTA (p&lt;0.5)'!H322</f>
        <v>0</v>
      </c>
      <c r="H281" s="24">
        <f>'NELIOTA (p&lt;0.5)'!I322</f>
        <v>100</v>
      </c>
      <c r="I281" s="24">
        <f>'NELIOTA (p&lt;0.5)'!J322</f>
        <v>0</v>
      </c>
      <c r="K281" s="101">
        <f>'NELIOTA (p&lt;0.5)'!M322</f>
        <v>0</v>
      </c>
      <c r="L281" s="92">
        <f t="shared" ref="L281" si="214">K281/3600</f>
        <v>0</v>
      </c>
      <c r="N281" s="47">
        <v>2</v>
      </c>
      <c r="O281" s="47">
        <v>29.95</v>
      </c>
      <c r="P281" s="33">
        <f t="shared" ref="P281" si="215">N281+O281/60</f>
        <v>2.4991666666666665</v>
      </c>
      <c r="Q281" s="33">
        <f t="shared" ref="Q281" si="216">P281*62.4%</f>
        <v>1.55948</v>
      </c>
      <c r="R281" s="33">
        <f t="shared" ref="R281" si="217">IF(G281=100,L281,Q281)</f>
        <v>1.55948</v>
      </c>
      <c r="S281" s="33">
        <f t="shared" ref="S281" si="218">100*L281/Q281</f>
        <v>0</v>
      </c>
      <c r="T281" s="33">
        <f t="shared" ref="T281" si="219">R281</f>
        <v>1.55948</v>
      </c>
      <c r="U281" s="33">
        <f t="shared" ref="U281" si="220">L281</f>
        <v>0</v>
      </c>
      <c r="V281" s="33">
        <f t="shared" ref="V281" si="221">T281*H281%</f>
        <v>1.55948</v>
      </c>
      <c r="W281" s="33">
        <f t="shared" ref="W281" si="222">T281*I281%</f>
        <v>0</v>
      </c>
      <c r="X281" s="33"/>
      <c r="Y281" s="33"/>
      <c r="Z281" s="33"/>
      <c r="AA281" s="33"/>
    </row>
    <row r="282" spans="1:27" x14ac:dyDescent="0.25">
      <c r="A282" s="82">
        <f>'NELIOTA (p&lt;0.5)'!A323</f>
        <v>44027</v>
      </c>
      <c r="B282" s="58" t="str">
        <f>'NELIOTA (p&lt;0.5)'!B323</f>
        <v>04:00-06:00</v>
      </c>
      <c r="C282" s="59">
        <f>'NELIOTA (p&lt;0.5)'!C323</f>
        <v>0.31</v>
      </c>
      <c r="D282" s="60" t="str">
        <f>'NELIOTA (p&lt;0.5)'!E323</f>
        <v>0</v>
      </c>
      <c r="E282" s="112" t="str">
        <f>'NELIOTA (p&lt;0.5)'!F323</f>
        <v>Very good</v>
      </c>
      <c r="G282" s="8">
        <f>'NELIOTA (p&lt;0.5)'!H323</f>
        <v>75</v>
      </c>
      <c r="H282" s="8">
        <f>'NELIOTA (p&lt;0.5)'!I323</f>
        <v>25</v>
      </c>
      <c r="I282" s="8">
        <f>'NELIOTA (p&lt;0.5)'!J323</f>
        <v>0</v>
      </c>
      <c r="K282" s="98">
        <f>'NELIOTA (p&lt;0.5)'!M323</f>
        <v>3892.82</v>
      </c>
      <c r="L282" s="93">
        <f t="shared" ref="L282" si="223">K282/3600</f>
        <v>1.0813388888888888</v>
      </c>
      <c r="N282" s="11">
        <v>2</v>
      </c>
      <c r="O282" s="11">
        <v>18.64</v>
      </c>
      <c r="P282" s="9">
        <f t="shared" ref="P282" si="224">N282+O282/60</f>
        <v>2.3106666666666666</v>
      </c>
      <c r="Q282" s="9">
        <f t="shared" ref="Q282" si="225">P282*62.4%</f>
        <v>1.441856</v>
      </c>
      <c r="R282" s="9">
        <f t="shared" ref="R282" si="226">IF(G282=100,L282,Q282)</f>
        <v>1.441856</v>
      </c>
      <c r="S282" s="9">
        <f t="shared" ref="S282" si="227">100*L282/Q282</f>
        <v>74.99631647604815</v>
      </c>
      <c r="T282" s="9">
        <f t="shared" ref="T282" si="228">R282</f>
        <v>1.441856</v>
      </c>
      <c r="U282" s="9">
        <f t="shared" ref="U282" si="229">L282</f>
        <v>1.0813388888888888</v>
      </c>
      <c r="V282" s="9">
        <f t="shared" ref="V282" si="230">T282*H282%</f>
        <v>0.36046400000000001</v>
      </c>
      <c r="W282" s="9">
        <f t="shared" ref="W282" si="231">T282*I282%</f>
        <v>0</v>
      </c>
      <c r="X282" s="9"/>
      <c r="Y282" s="9"/>
      <c r="Z282" s="9"/>
      <c r="AA282" s="9"/>
    </row>
    <row r="283" spans="1:27" x14ac:dyDescent="0.25">
      <c r="A283" s="82">
        <f>'NELIOTA (p&lt;0.5)'!A324</f>
        <v>44028</v>
      </c>
      <c r="B283" s="58" t="str">
        <f>'NELIOTA (p&lt;0.5)'!B324</f>
        <v>04:30-06:00</v>
      </c>
      <c r="C283" s="59">
        <f>'NELIOTA (p&lt;0.5)'!C324</f>
        <v>0.222</v>
      </c>
      <c r="D283" s="60">
        <f>'NELIOTA (p&lt;0.5)'!E324</f>
        <v>0</v>
      </c>
      <c r="E283" s="112" t="str">
        <f>'NELIOTA (p&lt;0.5)'!F324</f>
        <v>Very good</v>
      </c>
      <c r="G283" s="8">
        <f>'NELIOTA (p&lt;0.5)'!H324</f>
        <v>100</v>
      </c>
      <c r="H283" s="8">
        <f>'NELIOTA (p&lt;0.5)'!I324</f>
        <v>0</v>
      </c>
      <c r="I283" s="8">
        <f>'NELIOTA (p&lt;0.5)'!J324</f>
        <v>0</v>
      </c>
      <c r="K283" s="98">
        <f>'NELIOTA (p&lt;0.5)'!M324</f>
        <v>3211.33</v>
      </c>
      <c r="L283" s="93">
        <f t="shared" ref="L283" si="232">K283/3600</f>
        <v>0.89203611111111114</v>
      </c>
      <c r="N283" s="11">
        <v>1</v>
      </c>
      <c r="O283" s="11">
        <v>25.77</v>
      </c>
      <c r="P283" s="9">
        <f t="shared" ref="P283" si="233">N283+O283/60</f>
        <v>1.4295</v>
      </c>
      <c r="Q283" s="9">
        <f t="shared" ref="Q283" si="234">P283*62.4%</f>
        <v>0.89200800000000002</v>
      </c>
      <c r="R283" s="9">
        <f t="shared" ref="R283" si="235">IF(G283=100,L283,Q283)</f>
        <v>0.89203611111111114</v>
      </c>
      <c r="S283" s="9">
        <f t="shared" ref="S283" si="236">100*L283/Q283</f>
        <v>100.00315144159146</v>
      </c>
      <c r="T283" s="9">
        <f t="shared" ref="T283" si="237">R283</f>
        <v>0.89203611111111114</v>
      </c>
      <c r="U283" s="9">
        <f t="shared" ref="U283" si="238">L283</f>
        <v>0.89203611111111114</v>
      </c>
      <c r="V283" s="9">
        <f t="shared" ref="V283" si="239">T283*H283%</f>
        <v>0</v>
      </c>
      <c r="W283" s="9">
        <f t="shared" ref="W283" si="240">T283*I283%</f>
        <v>0</v>
      </c>
      <c r="X283" s="9"/>
      <c r="Y283" s="9"/>
      <c r="Z283" s="9"/>
      <c r="AA283" s="9"/>
    </row>
    <row r="284" spans="1:27" x14ac:dyDescent="0.25">
      <c r="A284" s="82">
        <f>'NELIOTA (p&lt;0.5)'!A325</f>
        <v>44029</v>
      </c>
      <c r="B284" s="58" t="str">
        <f>'NELIOTA (p&lt;0.5)'!B325</f>
        <v>05:10-06:00</v>
      </c>
      <c r="C284" s="59">
        <f>'NELIOTA (p&lt;0.5)'!C325</f>
        <v>0.14299999999999999</v>
      </c>
      <c r="D284" s="60">
        <f>'NELIOTA (p&lt;0.5)'!E325</f>
        <v>0</v>
      </c>
      <c r="E284" s="112" t="str">
        <f>'NELIOTA (p&lt;0.5)'!F325</f>
        <v>Very good</v>
      </c>
      <c r="G284" s="8">
        <f>'NELIOTA (p&lt;0.5)'!H325</f>
        <v>100</v>
      </c>
      <c r="H284" s="8">
        <f>'NELIOTA (p&lt;0.5)'!I325</f>
        <v>0</v>
      </c>
      <c r="I284" s="8">
        <f>'NELIOTA (p&lt;0.5)'!J325</f>
        <v>0</v>
      </c>
      <c r="K284" s="98">
        <f>'NELIOTA (p&lt;0.5)'!M325</f>
        <v>1746.7</v>
      </c>
      <c r="L284" s="93">
        <f t="shared" ref="L284" si="241">K284/3600</f>
        <v>0.48519444444444448</v>
      </c>
      <c r="N284" s="11">
        <v>0</v>
      </c>
      <c r="O284" s="11">
        <v>46.652999999999999</v>
      </c>
      <c r="P284" s="9">
        <f t="shared" ref="P284" si="242">N284+O284/60</f>
        <v>0.77754999999999996</v>
      </c>
      <c r="Q284" s="9">
        <f t="shared" ref="Q284" si="243">P284*62.4%</f>
        <v>0.48519119999999999</v>
      </c>
      <c r="R284" s="9">
        <f t="shared" ref="R284" si="244">IF(G284=100,L284,Q284)</f>
        <v>0.48519444444444448</v>
      </c>
      <c r="S284" s="9">
        <f t="shared" ref="S284" si="245">100*L284/Q284</f>
        <v>100.00066869400031</v>
      </c>
      <c r="T284" s="9">
        <f t="shared" ref="T284" si="246">R284</f>
        <v>0.48519444444444448</v>
      </c>
      <c r="U284" s="9">
        <f t="shared" ref="U284" si="247">L284</f>
        <v>0.48519444444444448</v>
      </c>
      <c r="V284" s="9">
        <f t="shared" ref="V284" si="248">T284*H284%</f>
        <v>0</v>
      </c>
      <c r="W284" s="9">
        <f t="shared" ref="W284" si="249">T284*I284%</f>
        <v>0</v>
      </c>
      <c r="X284" s="9"/>
      <c r="Y284" s="9"/>
      <c r="Z284" s="9"/>
      <c r="AA284" s="9"/>
    </row>
    <row r="285" spans="1:27" x14ac:dyDescent="0.25">
      <c r="A285" s="82">
        <f>'NELIOTA (p&lt;0.5)'!A326</f>
        <v>44036</v>
      </c>
      <c r="B285" s="58" t="str">
        <f>'NELIOTA (p&lt;0.5)'!B326</f>
        <v>21:05-21:45</v>
      </c>
      <c r="C285" s="59">
        <f>'NELIOTA (p&lt;0.5)'!C326</f>
        <v>0.20300000000000001</v>
      </c>
      <c r="D285" s="60" t="str">
        <f>'NELIOTA (p&lt;0.5)'!E326</f>
        <v>0</v>
      </c>
      <c r="E285" s="112" t="str">
        <f>'NELIOTA (p&lt;0.5)'!F326</f>
        <v>Very good</v>
      </c>
      <c r="G285" s="8">
        <f>'NELIOTA (p&lt;0.5)'!H326</f>
        <v>50</v>
      </c>
      <c r="H285" s="8">
        <f>'NELIOTA (p&lt;0.5)'!I326</f>
        <v>0</v>
      </c>
      <c r="I285" s="8">
        <f>'NELIOTA (p&lt;0.5)'!J326</f>
        <v>50</v>
      </c>
      <c r="K285" s="98">
        <f>'NELIOTA (p&lt;0.5)'!M326</f>
        <v>889.36</v>
      </c>
      <c r="L285" s="93">
        <f t="shared" ref="L285" si="250">K285/3600</f>
        <v>0.24704444444444446</v>
      </c>
      <c r="N285" s="11">
        <v>0</v>
      </c>
      <c r="O285" s="11">
        <v>47.5</v>
      </c>
      <c r="P285" s="9">
        <f t="shared" ref="P285" si="251">N285+O285/60</f>
        <v>0.79166666666666663</v>
      </c>
      <c r="Q285" s="9">
        <f t="shared" ref="Q285" si="252">P285*62.4%</f>
        <v>0.49399999999999999</v>
      </c>
      <c r="R285" s="9">
        <f t="shared" ref="R285" si="253">IF(G285=100,L285,Q285)</f>
        <v>0.49399999999999999</v>
      </c>
      <c r="S285" s="9">
        <f t="shared" ref="S285" si="254">100*L285/Q285</f>
        <v>50.008996851102111</v>
      </c>
      <c r="T285" s="9">
        <f t="shared" ref="T285" si="255">R285</f>
        <v>0.49399999999999999</v>
      </c>
      <c r="U285" s="9">
        <f t="shared" ref="U285" si="256">L285</f>
        <v>0.24704444444444446</v>
      </c>
      <c r="V285" s="9">
        <f t="shared" ref="V285" si="257">T285*H285%</f>
        <v>0</v>
      </c>
      <c r="W285" s="9">
        <f t="shared" ref="W285" si="258">T285*I285%</f>
        <v>0.247</v>
      </c>
      <c r="X285" s="9"/>
      <c r="Y285" s="9"/>
      <c r="Z285" s="9"/>
      <c r="AA285" s="9"/>
    </row>
    <row r="286" spans="1:27" x14ac:dyDescent="0.25">
      <c r="A286" s="82">
        <f>'NELIOTA (p&lt;0.5)'!A327</f>
        <v>44037</v>
      </c>
      <c r="B286" s="58" t="str">
        <f>'NELIOTA (p&lt;0.5)'!B327</f>
        <v>21:05-22:10</v>
      </c>
      <c r="C286" s="59">
        <f>'NELIOTA (p&lt;0.5)'!C327</f>
        <v>0.30599999999999999</v>
      </c>
      <c r="D286" s="60" t="str">
        <f>'NELIOTA (p&lt;0.5)'!E327</f>
        <v>2 suspected</v>
      </c>
      <c r="E286" s="112" t="str">
        <f>'NELIOTA (p&lt;0.5)'!F327</f>
        <v>Very good</v>
      </c>
      <c r="G286" s="8">
        <f>'NELIOTA (p&lt;0.5)'!H327</f>
        <v>100</v>
      </c>
      <c r="H286" s="8">
        <f>'NELIOTA (p&lt;0.5)'!I327</f>
        <v>0</v>
      </c>
      <c r="I286" s="8">
        <f>'NELIOTA (p&lt;0.5)'!J327</f>
        <v>0</v>
      </c>
      <c r="K286" s="98">
        <f>'NELIOTA (p&lt;0.5)'!M327</f>
        <v>2443.451</v>
      </c>
      <c r="L286" s="93">
        <f t="shared" ref="L286" si="259">K286/3600</f>
        <v>0.67873638888888888</v>
      </c>
      <c r="N286" s="11">
        <v>1</v>
      </c>
      <c r="O286" s="11">
        <v>5.26</v>
      </c>
      <c r="P286" s="9">
        <f t="shared" ref="P286" si="260">N286+O286/60</f>
        <v>1.0876666666666666</v>
      </c>
      <c r="Q286" s="9">
        <f t="shared" ref="Q286" si="261">P286*62.4%</f>
        <v>0.67870399999999997</v>
      </c>
      <c r="R286" s="9">
        <f t="shared" ref="R286" si="262">IF(G286=100,L286,Q286)</f>
        <v>0.67873638888888888</v>
      </c>
      <c r="S286" s="9">
        <f t="shared" ref="S286" si="263">100*L286/Q286</f>
        <v>100.00477216708447</v>
      </c>
      <c r="T286" s="9">
        <f t="shared" ref="T286" si="264">R286</f>
        <v>0.67873638888888888</v>
      </c>
      <c r="U286" s="9">
        <f t="shared" ref="U286" si="265">L286</f>
        <v>0.67873638888888888</v>
      </c>
      <c r="V286" s="9">
        <f t="shared" ref="V286" si="266">T286*H286%</f>
        <v>0</v>
      </c>
      <c r="W286" s="9">
        <f t="shared" ref="W286" si="267">T286*I286%</f>
        <v>0</v>
      </c>
      <c r="X286" s="9"/>
      <c r="Y286" s="9"/>
      <c r="Z286" s="9"/>
      <c r="AA286" s="9"/>
    </row>
    <row r="287" spans="1:27" x14ac:dyDescent="0.25">
      <c r="A287" s="82">
        <f>'NELIOTA (p&lt;0.5)'!A328</f>
        <v>44038</v>
      </c>
      <c r="B287" s="58" t="str">
        <f>'NELIOTA (p&lt;0.5)'!B328</f>
        <v>21:05-22:40</v>
      </c>
      <c r="C287" s="59">
        <f>'NELIOTA (p&lt;0.5)'!C328</f>
        <v>0.42</v>
      </c>
      <c r="D287" s="60" t="str">
        <f>'NELIOTA (p&lt;0.5)'!E328</f>
        <v>2 validated</v>
      </c>
      <c r="E287" s="112" t="str">
        <f>'NELIOTA (p&lt;0.5)'!F328</f>
        <v>Very good</v>
      </c>
      <c r="G287" s="8">
        <f>'NELIOTA (p&lt;0.5)'!H328</f>
        <v>100</v>
      </c>
      <c r="H287" s="8">
        <f>'NELIOTA (p&lt;0.5)'!I328</f>
        <v>0</v>
      </c>
      <c r="I287" s="8">
        <f>'NELIOTA (p&lt;0.5)'!J328</f>
        <v>0</v>
      </c>
      <c r="K287" s="98">
        <f>'NELIOTA (p&lt;0.5)'!M328</f>
        <v>3495.26</v>
      </c>
      <c r="L287" s="93">
        <f t="shared" ref="L287" si="268">K287/3600</f>
        <v>0.97090555555555558</v>
      </c>
      <c r="N287" s="11">
        <v>1</v>
      </c>
      <c r="O287" s="11">
        <v>33.36</v>
      </c>
      <c r="P287" s="9">
        <f t="shared" ref="P287" si="269">N287+O287/60</f>
        <v>1.556</v>
      </c>
      <c r="Q287" s="9">
        <f t="shared" ref="Q287" si="270">P287*62.4%</f>
        <v>0.97094400000000003</v>
      </c>
      <c r="R287" s="9">
        <f t="shared" ref="R287" si="271">IF(G287=100,L287,Q287)</f>
        <v>0.97090555555555558</v>
      </c>
      <c r="S287" s="9">
        <f t="shared" ref="S287" si="272">100*L287/Q287</f>
        <v>99.996040508572634</v>
      </c>
      <c r="T287" s="9">
        <f t="shared" ref="T287" si="273">R287</f>
        <v>0.97090555555555558</v>
      </c>
      <c r="U287" s="9">
        <f t="shared" ref="U287" si="274">L287</f>
        <v>0.97090555555555558</v>
      </c>
      <c r="V287" s="9">
        <f t="shared" ref="V287" si="275">T287*H287%</f>
        <v>0</v>
      </c>
      <c r="W287" s="9">
        <f t="shared" ref="W287" si="276">T287*I287%</f>
        <v>0</v>
      </c>
      <c r="X287" s="9">
        <f>SUM(U281:U287)</f>
        <v>4.3552558333333335</v>
      </c>
      <c r="Y287" s="9">
        <f>100*X287/SUM(T281:T287)</f>
        <v>66.775783591299387</v>
      </c>
      <c r="Z287" s="9">
        <f>100*SUM(V281:V287)/SUM(T281:T287)</f>
        <v>29.437022750805962</v>
      </c>
      <c r="AA287" s="9">
        <f>100*SUM(W281:W287)/SUM(T281:T287)</f>
        <v>3.7870607785690997</v>
      </c>
    </row>
    <row r="288" spans="1:27" s="48" customFormat="1" x14ac:dyDescent="0.25">
      <c r="A288" s="94">
        <f>'NELIOTA (p&lt;0.5)'!A329</f>
        <v>44056</v>
      </c>
      <c r="B288" s="62" t="str">
        <f>'NELIOTA (p&lt;0.5)'!B329</f>
        <v>03:05-06:20</v>
      </c>
      <c r="C288" s="63">
        <f>'NELIOTA (p&lt;0.5)'!C329</f>
        <v>0.377</v>
      </c>
      <c r="D288" s="64" t="str">
        <f>'NELIOTA (p&lt;0.5)'!E329</f>
        <v>1 validated</v>
      </c>
      <c r="E288" s="119" t="str">
        <f>'NELIOTA (p&lt;0.5)'!F329</f>
        <v>Very good</v>
      </c>
      <c r="G288" s="24">
        <f>'NELIOTA (p&lt;0.5)'!H329</f>
        <v>100</v>
      </c>
      <c r="H288" s="24">
        <f>'NELIOTA (p&lt;0.5)'!I329</f>
        <v>0</v>
      </c>
      <c r="I288" s="24">
        <f>'NELIOTA (p&lt;0.5)'!J329</f>
        <v>0</v>
      </c>
      <c r="K288" s="101">
        <f>'NELIOTA (p&lt;0.5)'!M329</f>
        <v>7399.12</v>
      </c>
      <c r="L288" s="92">
        <f t="shared" ref="L288" si="277">K288/3600</f>
        <v>2.0553111111111111</v>
      </c>
      <c r="N288" s="47">
        <v>3</v>
      </c>
      <c r="O288" s="47">
        <v>17.63</v>
      </c>
      <c r="P288" s="33">
        <f t="shared" ref="P288" si="278">N288+O288/60</f>
        <v>3.2938333333333332</v>
      </c>
      <c r="Q288" s="33">
        <f t="shared" ref="Q288" si="279">P288*62.4%</f>
        <v>2.0553520000000001</v>
      </c>
      <c r="R288" s="33">
        <f t="shared" ref="R288" si="280">IF(G288=100,L288,Q288)</f>
        <v>2.0553111111111111</v>
      </c>
      <c r="S288" s="33">
        <f t="shared" ref="S288" si="281">100*L288/Q288</f>
        <v>99.998010613807807</v>
      </c>
      <c r="T288" s="33">
        <f t="shared" ref="T288" si="282">R288</f>
        <v>2.0553111111111111</v>
      </c>
      <c r="U288" s="33">
        <f t="shared" ref="U288" si="283">L288</f>
        <v>2.0553111111111111</v>
      </c>
      <c r="V288" s="33">
        <f t="shared" ref="V288" si="284">T288*H288%</f>
        <v>0</v>
      </c>
      <c r="W288" s="33">
        <f t="shared" ref="W288" si="285">T288*I288%</f>
        <v>0</v>
      </c>
      <c r="X288" s="33"/>
      <c r="Y288" s="33"/>
      <c r="Z288" s="33"/>
      <c r="AA288" s="33"/>
    </row>
    <row r="289" spans="1:27" x14ac:dyDescent="0.25">
      <c r="A289" s="82">
        <f>'NELIOTA (p&lt;0.5)'!A330</f>
        <v>44057</v>
      </c>
      <c r="B289" s="58" t="str">
        <f>'NELIOTA (p&lt;0.5)'!B330</f>
        <v>03:45-06:20</v>
      </c>
      <c r="C289" s="59">
        <f>'NELIOTA (p&lt;0.5)'!C330</f>
        <v>0.28100000000000003</v>
      </c>
      <c r="D289" s="60" t="str">
        <f>'NELIOTA (p&lt;0.5)'!E330</f>
        <v>2 validated</v>
      </c>
      <c r="E289" s="112" t="str">
        <f>'NELIOTA (p&lt;0.5)'!F330</f>
        <v>Very good</v>
      </c>
      <c r="G289" s="8">
        <f>'NELIOTA (p&lt;0.5)'!H330</f>
        <v>100</v>
      </c>
      <c r="H289" s="8">
        <f>'NELIOTA (p&lt;0.5)'!I330</f>
        <v>0</v>
      </c>
      <c r="I289" s="8">
        <f>'NELIOTA (p&lt;0.5)'!J330</f>
        <v>0</v>
      </c>
      <c r="K289" s="98">
        <f>'NELIOTA (p&lt;0.5)'!M330</f>
        <v>5558</v>
      </c>
      <c r="L289" s="93">
        <f t="shared" ref="L289" si="286">K289/3600</f>
        <v>1.5438888888888889</v>
      </c>
      <c r="N289" s="11">
        <v>2</v>
      </c>
      <c r="O289" s="11">
        <v>28.45</v>
      </c>
      <c r="P289" s="9">
        <f t="shared" ref="P289" si="287">N289+O289/60</f>
        <v>2.4741666666666666</v>
      </c>
      <c r="Q289" s="9">
        <f t="shared" ref="Q289" si="288">P289*62.4%</f>
        <v>1.5438799999999999</v>
      </c>
      <c r="R289" s="9">
        <f t="shared" ref="R289" si="289">IF(G289=100,L289,Q289)</f>
        <v>1.5438888888888889</v>
      </c>
      <c r="S289" s="9">
        <f t="shared" ref="S289" si="290">100*L289/Q289</f>
        <v>100.00057574998633</v>
      </c>
      <c r="T289" s="9">
        <f t="shared" ref="T289" si="291">R289</f>
        <v>1.5438888888888889</v>
      </c>
      <c r="U289" s="9">
        <f t="shared" ref="U289" si="292">L289</f>
        <v>1.5438888888888889</v>
      </c>
      <c r="V289" s="9">
        <f t="shared" ref="V289" si="293">T289*H289%</f>
        <v>0</v>
      </c>
      <c r="W289" s="9">
        <f t="shared" ref="W289" si="294">T289*I289%</f>
        <v>0</v>
      </c>
      <c r="X289" s="9"/>
      <c r="Y289" s="9"/>
      <c r="Z289" s="9"/>
      <c r="AA289" s="9"/>
    </row>
    <row r="290" spans="1:27" x14ac:dyDescent="0.25">
      <c r="A290" s="82">
        <f>'NELIOTA (p&lt;0.5)'!A331</f>
        <v>44058</v>
      </c>
      <c r="B290" s="58" t="str">
        <f>'NELIOTA (p&lt;0.5)'!B331</f>
        <v>04:35-06:20</v>
      </c>
      <c r="C290" s="59">
        <f>'NELIOTA (p&lt;0.5)'!C331</f>
        <v>0.191</v>
      </c>
      <c r="D290" s="60" t="str">
        <f>'NELIOTA (p&lt;0.5)'!E331</f>
        <v>0</v>
      </c>
      <c r="E290" s="112" t="str">
        <f>'NELIOTA (p&lt;0.5)'!F331</f>
        <v>Very good</v>
      </c>
      <c r="G290" s="8">
        <f>'NELIOTA (p&lt;0.5)'!H331</f>
        <v>0</v>
      </c>
      <c r="H290" s="8">
        <f>'NELIOTA (p&lt;0.5)'!I331</f>
        <v>0</v>
      </c>
      <c r="I290" s="8">
        <f>'NELIOTA (p&lt;0.5)'!J331</f>
        <v>100</v>
      </c>
      <c r="K290" s="98">
        <f>'NELIOTA (p&lt;0.5)'!M331</f>
        <v>0</v>
      </c>
      <c r="L290" s="93">
        <f t="shared" ref="L290" si="295">K290/3600</f>
        <v>0</v>
      </c>
      <c r="N290" s="11">
        <v>1</v>
      </c>
      <c r="O290" s="11">
        <v>45</v>
      </c>
      <c r="P290" s="9">
        <f t="shared" ref="P290" si="296">N290+O290/60</f>
        <v>1.75</v>
      </c>
      <c r="Q290" s="9">
        <f t="shared" ref="Q290" si="297">P290*62.4%</f>
        <v>1.0920000000000001</v>
      </c>
      <c r="R290" s="9">
        <f t="shared" ref="R290" si="298">IF(G290=100,L290,Q290)</f>
        <v>1.0920000000000001</v>
      </c>
      <c r="S290" s="9">
        <f t="shared" ref="S290" si="299">100*L290/Q290</f>
        <v>0</v>
      </c>
      <c r="T290" s="9">
        <f t="shared" ref="T290" si="300">R290</f>
        <v>1.0920000000000001</v>
      </c>
      <c r="U290" s="9">
        <f t="shared" ref="U290" si="301">L290</f>
        <v>0</v>
      </c>
      <c r="V290" s="9">
        <f t="shared" ref="V290" si="302">T290*H290%</f>
        <v>0</v>
      </c>
      <c r="W290" s="9">
        <f t="shared" ref="W290" si="303">T290*I290%</f>
        <v>1.0920000000000001</v>
      </c>
      <c r="X290" s="9"/>
      <c r="Y290" s="9"/>
      <c r="Z290" s="9"/>
      <c r="AA290" s="9"/>
    </row>
    <row r="291" spans="1:27" x14ac:dyDescent="0.25">
      <c r="A291" s="82">
        <f>'NELIOTA (p&lt;0.5)'!A332</f>
        <v>44059</v>
      </c>
      <c r="B291" s="58" t="str">
        <f>'NELIOTA (p&lt;0.5)'!B332</f>
        <v>05:30-06:20</v>
      </c>
      <c r="C291" s="59">
        <f>'NELIOTA (p&lt;0.5)'!C332</f>
        <v>0.112</v>
      </c>
      <c r="D291" s="60" t="str">
        <f>'NELIOTA (p&lt;0.5)'!E332</f>
        <v>0</v>
      </c>
      <c r="E291" s="112" t="str">
        <f>'NELIOTA (p&lt;0.5)'!F332</f>
        <v>Very good</v>
      </c>
      <c r="G291" s="8">
        <f>'NELIOTA (p&lt;0.5)'!H332</f>
        <v>0</v>
      </c>
      <c r="H291" s="8">
        <f>'NELIOTA (p&lt;0.5)'!I332</f>
        <v>0</v>
      </c>
      <c r="I291" s="8">
        <f>'NELIOTA (p&lt;0.5)'!J332</f>
        <v>100</v>
      </c>
      <c r="K291" s="98">
        <f>'NELIOTA (p&lt;0.5)'!M332</f>
        <v>0</v>
      </c>
      <c r="L291" s="93">
        <f t="shared" ref="L291" si="304">K291/3600</f>
        <v>0</v>
      </c>
      <c r="N291" s="11">
        <v>0</v>
      </c>
      <c r="O291" s="11">
        <v>50</v>
      </c>
      <c r="P291" s="9">
        <f t="shared" ref="P291" si="305">N291+O291/60</f>
        <v>0.83333333333333337</v>
      </c>
      <c r="Q291" s="9">
        <f t="shared" ref="Q291" si="306">P291*62.4%</f>
        <v>0.52</v>
      </c>
      <c r="R291" s="9">
        <f t="shared" ref="R291" si="307">IF(G291=100,L291,Q291)</f>
        <v>0.52</v>
      </c>
      <c r="S291" s="9">
        <f t="shared" ref="S291" si="308">100*L291/Q291</f>
        <v>0</v>
      </c>
      <c r="T291" s="9">
        <f t="shared" ref="T291" si="309">R291</f>
        <v>0.52</v>
      </c>
      <c r="U291" s="9">
        <f t="shared" ref="U291" si="310">L291</f>
        <v>0</v>
      </c>
      <c r="V291" s="9">
        <f t="shared" ref="V291" si="311">T291*H291%</f>
        <v>0</v>
      </c>
      <c r="W291" s="9">
        <f t="shared" ref="W291" si="312">T291*I291%</f>
        <v>0.52</v>
      </c>
      <c r="X291" s="9"/>
      <c r="Y291" s="9"/>
      <c r="Z291" s="9"/>
      <c r="AA291" s="9"/>
    </row>
    <row r="292" spans="1:27" x14ac:dyDescent="0.25">
      <c r="A292" s="82">
        <f>'NELIOTA (p&lt;0.5)'!A333</f>
        <v>44066</v>
      </c>
      <c r="B292" s="58" t="str">
        <f>'NELIOTA (p&lt;0.5)'!B333</f>
        <v>20:35-21:10</v>
      </c>
      <c r="C292" s="59">
        <f>'NELIOTA (p&lt;0.5)'!C333</f>
        <v>0.27800000000000002</v>
      </c>
      <c r="D292" s="60" t="str">
        <f>'NELIOTA (p&lt;0.5)'!E333</f>
        <v>0</v>
      </c>
      <c r="E292" s="112" t="str">
        <f>'NELIOTA (p&lt;0.5)'!F333</f>
        <v>Very good</v>
      </c>
      <c r="G292" s="8">
        <f>'NELIOTA (p&lt;0.5)'!H333</f>
        <v>85</v>
      </c>
      <c r="H292" s="8">
        <f>'NELIOTA (p&lt;0.5)'!I333</f>
        <v>0</v>
      </c>
      <c r="I292" s="8">
        <f>'NELIOTA (p&lt;0.5)'!J333</f>
        <v>15</v>
      </c>
      <c r="K292" s="98">
        <f>'NELIOTA (p&lt;0.5)'!M333</f>
        <v>965.13</v>
      </c>
      <c r="L292" s="93">
        <f t="shared" ref="L292" si="313">K292/3600</f>
        <v>0.26809166666666667</v>
      </c>
      <c r="N292" s="11">
        <v>0</v>
      </c>
      <c r="O292" s="11">
        <v>30.33</v>
      </c>
      <c r="P292" s="9">
        <f t="shared" ref="P292" si="314">N292+O292/60</f>
        <v>0.50549999999999995</v>
      </c>
      <c r="Q292" s="9">
        <f t="shared" ref="Q292" si="315">P292*62.4%</f>
        <v>0.31543199999999999</v>
      </c>
      <c r="R292" s="9">
        <f t="shared" ref="R292" si="316">IF(G292=100,L292,Q292)</f>
        <v>0.31543199999999999</v>
      </c>
      <c r="S292" s="9">
        <f t="shared" ref="S292" si="317">100*L292/Q292</f>
        <v>84.991905281222785</v>
      </c>
      <c r="T292" s="9">
        <f t="shared" ref="T292" si="318">R292</f>
        <v>0.31543199999999999</v>
      </c>
      <c r="U292" s="9">
        <f t="shared" ref="U292" si="319">L292</f>
        <v>0.26809166666666667</v>
      </c>
      <c r="V292" s="9">
        <f t="shared" ref="V292" si="320">T292*H292%</f>
        <v>0</v>
      </c>
      <c r="W292" s="9">
        <f t="shared" ref="W292" si="321">T292*I292%</f>
        <v>4.7314799999999997E-2</v>
      </c>
      <c r="X292" s="9"/>
      <c r="Y292" s="9"/>
      <c r="Z292" s="9"/>
      <c r="AA292" s="9"/>
    </row>
    <row r="293" spans="1:27" x14ac:dyDescent="0.25">
      <c r="A293" s="82">
        <f>'NELIOTA (p&lt;0.5)'!A334</f>
        <v>44067</v>
      </c>
      <c r="B293" s="58" t="str">
        <f>'NELIOTA (p&lt;0.5)'!B334</f>
        <v>20:35-21:40</v>
      </c>
      <c r="C293" s="59">
        <f>'NELIOTA (p&lt;0.5)'!C334</f>
        <v>0.39100000000000001</v>
      </c>
      <c r="D293" s="60" t="str">
        <f>'NELIOTA (p&lt;0.5)'!E334</f>
        <v>0</v>
      </c>
      <c r="E293" s="112" t="str">
        <f>'NELIOTA (p&lt;0.5)'!F334</f>
        <v>Very good</v>
      </c>
      <c r="G293" s="8">
        <f>'NELIOTA (p&lt;0.5)'!H334</f>
        <v>25</v>
      </c>
      <c r="H293" s="8">
        <f>'NELIOTA (p&lt;0.5)'!I334</f>
        <v>0</v>
      </c>
      <c r="I293" s="8">
        <f>'NELIOTA (p&lt;0.5)'!J334</f>
        <v>75</v>
      </c>
      <c r="K293" s="98">
        <f>'NELIOTA (p&lt;0.5)'!M334</f>
        <v>785.75</v>
      </c>
      <c r="L293" s="93">
        <f t="shared" ref="L293" si="322">K293/3600</f>
        <v>0.2182638888888889</v>
      </c>
      <c r="N293" s="11">
        <v>1</v>
      </c>
      <c r="O293" s="11">
        <v>25</v>
      </c>
      <c r="P293" s="9">
        <f t="shared" ref="P293" si="323">N293+O293/60</f>
        <v>1.4166666666666667</v>
      </c>
      <c r="Q293" s="9">
        <f t="shared" ref="Q293" si="324">P293*62.4%</f>
        <v>0.88400000000000001</v>
      </c>
      <c r="R293" s="9">
        <f t="shared" ref="R293" si="325">IF(G293=100,L293,Q293)</f>
        <v>0.88400000000000001</v>
      </c>
      <c r="S293" s="9">
        <f t="shared" ref="S293" si="326">100*L293/Q293</f>
        <v>24.690485168426346</v>
      </c>
      <c r="T293" s="9">
        <f t="shared" ref="T293" si="327">R293</f>
        <v>0.88400000000000001</v>
      </c>
      <c r="U293" s="9">
        <f t="shared" ref="U293" si="328">L293</f>
        <v>0.2182638888888889</v>
      </c>
      <c r="V293" s="9">
        <f t="shared" ref="V293" si="329">T293*H293%</f>
        <v>0</v>
      </c>
      <c r="W293" s="9">
        <f t="shared" ref="W293" si="330">T293*I293%</f>
        <v>0.66300000000000003</v>
      </c>
      <c r="X293" s="9">
        <f>SUM(U288:U293)</f>
        <v>4.0855555555555556</v>
      </c>
      <c r="Y293" s="9">
        <f>100*X293/SUM(T288:T293)</f>
        <v>63.730932543867048</v>
      </c>
      <c r="Z293" s="9">
        <f>100*SUM(V288:V293)/SUM(T288:T293)</f>
        <v>0</v>
      </c>
      <c r="AA293" s="9">
        <f>100*SUM(W288:W293)/SUM(T288:T293)</f>
        <v>36.225988326891951</v>
      </c>
    </row>
    <row r="294" spans="1:27" x14ac:dyDescent="0.25">
      <c r="A294" s="82"/>
      <c r="B294" s="58"/>
      <c r="C294" s="59"/>
      <c r="D294" s="60"/>
      <c r="E294" s="112"/>
      <c r="G294" s="8"/>
      <c r="H294" s="8"/>
      <c r="I294" s="8"/>
      <c r="K294" s="98"/>
      <c r="L294" s="93"/>
      <c r="N294" s="11"/>
      <c r="O294" s="11"/>
      <c r="P294" s="9"/>
      <c r="Q294" s="9"/>
      <c r="R294" s="9"/>
      <c r="S294" s="9"/>
      <c r="T294" s="9"/>
      <c r="U294" s="9"/>
      <c r="V294" s="9"/>
      <c r="W294" s="9"/>
      <c r="X294" s="9"/>
      <c r="Y294" s="9"/>
      <c r="Z294" s="9"/>
      <c r="AA294" s="9"/>
    </row>
    <row r="295" spans="1:27" x14ac:dyDescent="0.25">
      <c r="A295" s="82">
        <f>'NELIOTA (p&lt;0.5)'!A336</f>
        <v>44086</v>
      </c>
      <c r="B295" s="58" t="str">
        <f>'NELIOTA (p&lt;0.5)'!B336</f>
        <v>03:15-06:50</v>
      </c>
      <c r="C295" s="59">
        <f>'NELIOTA (p&lt;0.5)'!C336</f>
        <v>0.34100000000000003</v>
      </c>
      <c r="D295" s="60" t="str">
        <f>'NELIOTA (p&lt;0.5)'!E336</f>
        <v>0</v>
      </c>
      <c r="E295" s="112" t="str">
        <f>'NELIOTA (p&lt;0.5)'!F336</f>
        <v>Not known</v>
      </c>
      <c r="G295" s="8">
        <f>'NELIOTA (p&lt;0.5)'!H336</f>
        <v>0</v>
      </c>
      <c r="H295" s="8">
        <f>'NELIOTA (p&lt;0.5)'!I336</f>
        <v>0</v>
      </c>
      <c r="I295" s="8">
        <f>'NELIOTA (p&lt;0.5)'!J336</f>
        <v>100</v>
      </c>
      <c r="K295" s="98">
        <f>'NELIOTA (p&lt;0.5)'!M336</f>
        <v>0</v>
      </c>
      <c r="L295" s="93">
        <f t="shared" ref="L295:L301" si="331">K295/3600</f>
        <v>0</v>
      </c>
      <c r="N295" s="11">
        <v>3</v>
      </c>
      <c r="O295" s="11">
        <v>35</v>
      </c>
      <c r="P295" s="9">
        <f t="shared" ref="P295:P301" si="332">N295+O295/60</f>
        <v>3.5833333333333335</v>
      </c>
      <c r="Q295" s="9">
        <f t="shared" ref="Q295:Q301" si="333">P295*62.4%</f>
        <v>2.2360000000000002</v>
      </c>
      <c r="R295" s="9">
        <f t="shared" ref="R295:R301" si="334">IF(G295=100,L295,Q295)</f>
        <v>2.2360000000000002</v>
      </c>
      <c r="S295" s="9">
        <f t="shared" ref="S295:S301" si="335">100*L295/Q295</f>
        <v>0</v>
      </c>
      <c r="T295" s="9">
        <f t="shared" ref="T295:T301" si="336">R295</f>
        <v>2.2360000000000002</v>
      </c>
      <c r="U295" s="9">
        <f t="shared" ref="U295:U301" si="337">L295</f>
        <v>0</v>
      </c>
      <c r="V295" s="9">
        <f t="shared" ref="V295:V301" si="338">T295*H295%</f>
        <v>0</v>
      </c>
      <c r="W295" s="9">
        <f t="shared" ref="W295:W301" si="339">T295*I295%</f>
        <v>2.2360000000000002</v>
      </c>
      <c r="X295" s="9"/>
      <c r="Y295" s="9"/>
      <c r="Z295" s="9"/>
      <c r="AA295" s="9"/>
    </row>
    <row r="296" spans="1:27" x14ac:dyDescent="0.25">
      <c r="A296" s="82">
        <f>'NELIOTA (p&lt;0.5)'!A337</f>
        <v>44087</v>
      </c>
      <c r="B296" s="58" t="str">
        <f>'NELIOTA (p&lt;0.5)'!B337</f>
        <v>04:10-06:50</v>
      </c>
      <c r="C296" s="59">
        <f>'NELIOTA (p&lt;0.5)'!C337</f>
        <v>0.24199999999999999</v>
      </c>
      <c r="D296" s="60" t="str">
        <f>'NELIOTA (p&lt;0.5)'!E337</f>
        <v>0</v>
      </c>
      <c r="E296" s="112" t="str">
        <f>'NELIOTA (p&lt;0.5)'!F337</f>
        <v>Not known</v>
      </c>
      <c r="G296" s="8">
        <f>'NELIOTA (p&lt;0.5)'!H337</f>
        <v>0</v>
      </c>
      <c r="H296" s="8">
        <f>'NELIOTA (p&lt;0.5)'!I337</f>
        <v>0</v>
      </c>
      <c r="I296" s="8">
        <f>'NELIOTA (p&lt;0.5)'!J337</f>
        <v>100</v>
      </c>
      <c r="K296" s="98">
        <f>'NELIOTA (p&lt;0.5)'!M337</f>
        <v>0</v>
      </c>
      <c r="L296" s="93">
        <f t="shared" si="331"/>
        <v>0</v>
      </c>
      <c r="N296" s="11">
        <v>2</v>
      </c>
      <c r="O296" s="11">
        <v>40</v>
      </c>
      <c r="P296" s="9">
        <f t="shared" si="332"/>
        <v>2.6666666666666665</v>
      </c>
      <c r="Q296" s="9">
        <f t="shared" si="333"/>
        <v>1.6639999999999999</v>
      </c>
      <c r="R296" s="9">
        <f t="shared" si="334"/>
        <v>1.6639999999999999</v>
      </c>
      <c r="S296" s="9">
        <f t="shared" si="335"/>
        <v>0</v>
      </c>
      <c r="T296" s="9">
        <f t="shared" si="336"/>
        <v>1.6639999999999999</v>
      </c>
      <c r="U296" s="9">
        <f t="shared" si="337"/>
        <v>0</v>
      </c>
      <c r="V296" s="9">
        <f t="shared" si="338"/>
        <v>0</v>
      </c>
      <c r="W296" s="9">
        <f t="shared" si="339"/>
        <v>1.6639999999999999</v>
      </c>
      <c r="X296" s="9"/>
      <c r="Y296" s="9"/>
      <c r="Z296" s="9"/>
      <c r="AA296" s="9"/>
    </row>
    <row r="297" spans="1:27" x14ac:dyDescent="0.25">
      <c r="A297" s="82">
        <f>'NELIOTA (p&lt;0.5)'!A338</f>
        <v>44088</v>
      </c>
      <c r="B297" s="58" t="str">
        <f>'NELIOTA (p&lt;0.5)'!B338</f>
        <v>05:15-06:50</v>
      </c>
      <c r="C297" s="59">
        <f>'NELIOTA (p&lt;0.5)'!C338</f>
        <v>0.151</v>
      </c>
      <c r="D297" s="60" t="str">
        <f>'NELIOTA (p&lt;0.5)'!E338</f>
        <v>0</v>
      </c>
      <c r="E297" s="112" t="str">
        <f>'NELIOTA (p&lt;0.5)'!F338</f>
        <v>Not known</v>
      </c>
      <c r="G297" s="8">
        <f>'NELIOTA (p&lt;0.5)'!H338</f>
        <v>0</v>
      </c>
      <c r="H297" s="8">
        <f>'NELIOTA (p&lt;0.5)'!I338</f>
        <v>0</v>
      </c>
      <c r="I297" s="8">
        <f>'NELIOTA (p&lt;0.5)'!J338</f>
        <v>100</v>
      </c>
      <c r="K297" s="98">
        <f>'NELIOTA (p&lt;0.5)'!M338</f>
        <v>0</v>
      </c>
      <c r="L297" s="93">
        <f t="shared" si="331"/>
        <v>0</v>
      </c>
      <c r="N297" s="11">
        <v>1</v>
      </c>
      <c r="O297" s="11">
        <v>35</v>
      </c>
      <c r="P297" s="9">
        <f t="shared" si="332"/>
        <v>1.5833333333333335</v>
      </c>
      <c r="Q297" s="9">
        <f t="shared" si="333"/>
        <v>0.9880000000000001</v>
      </c>
      <c r="R297" s="9">
        <f t="shared" si="334"/>
        <v>0.9880000000000001</v>
      </c>
      <c r="S297" s="9">
        <f t="shared" si="335"/>
        <v>0</v>
      </c>
      <c r="T297" s="9">
        <f t="shared" si="336"/>
        <v>0.9880000000000001</v>
      </c>
      <c r="U297" s="9">
        <f t="shared" si="337"/>
        <v>0</v>
      </c>
      <c r="V297" s="9">
        <f t="shared" si="338"/>
        <v>0</v>
      </c>
      <c r="W297" s="9">
        <f t="shared" si="339"/>
        <v>0.9880000000000001</v>
      </c>
      <c r="X297" s="9"/>
      <c r="Y297" s="9"/>
      <c r="Z297" s="9"/>
      <c r="AA297" s="9"/>
    </row>
    <row r="298" spans="1:27" x14ac:dyDescent="0.25">
      <c r="A298" s="82">
        <f>'NELIOTA (p&lt;0.5)'!A339</f>
        <v>44089</v>
      </c>
      <c r="B298" s="58" t="str">
        <f>'NELIOTA (p&lt;0.5)'!B339</f>
        <v>06:20-06:50</v>
      </c>
      <c r="C298" s="59">
        <f>'NELIOTA (p&lt;0.5)'!C339</f>
        <v>7.5999999999999998E-2</v>
      </c>
      <c r="D298" s="60" t="str">
        <f>'NELIOTA (p&lt;0.5)'!E339</f>
        <v>0</v>
      </c>
      <c r="E298" s="112" t="str">
        <f>'NELIOTA (p&lt;0.5)'!F339</f>
        <v>Not known</v>
      </c>
      <c r="G298" s="8">
        <f>'NELIOTA (p&lt;0.5)'!H339</f>
        <v>0</v>
      </c>
      <c r="H298" s="8">
        <f>'NELIOTA (p&lt;0.5)'!I339</f>
        <v>0</v>
      </c>
      <c r="I298" s="8">
        <f>'NELIOTA (p&lt;0.5)'!J339</f>
        <v>100</v>
      </c>
      <c r="K298" s="98">
        <f>'NELIOTA (p&lt;0.5)'!M339</f>
        <v>0</v>
      </c>
      <c r="L298" s="93">
        <f t="shared" si="331"/>
        <v>0</v>
      </c>
      <c r="N298" s="11">
        <v>0</v>
      </c>
      <c r="O298" s="11">
        <v>30</v>
      </c>
      <c r="P298" s="9">
        <f t="shared" si="332"/>
        <v>0.5</v>
      </c>
      <c r="Q298" s="9">
        <f t="shared" si="333"/>
        <v>0.312</v>
      </c>
      <c r="R298" s="9">
        <f t="shared" si="334"/>
        <v>0.312</v>
      </c>
      <c r="S298" s="9">
        <f t="shared" si="335"/>
        <v>0</v>
      </c>
      <c r="T298" s="9">
        <f t="shared" si="336"/>
        <v>0.312</v>
      </c>
      <c r="U298" s="9">
        <f t="shared" si="337"/>
        <v>0</v>
      </c>
      <c r="V298" s="9">
        <f t="shared" si="338"/>
        <v>0</v>
      </c>
      <c r="W298" s="9">
        <f t="shared" si="339"/>
        <v>0.312</v>
      </c>
      <c r="X298" s="9"/>
      <c r="Y298" s="9"/>
      <c r="Z298" s="9"/>
      <c r="AA298" s="9"/>
    </row>
    <row r="299" spans="1:27" x14ac:dyDescent="0.25">
      <c r="A299" s="82">
        <f>'NELIOTA (p&lt;0.5)'!A340</f>
        <v>44095</v>
      </c>
      <c r="B299" s="58" t="str">
        <f>'NELIOTA (p&lt;0.5)'!B340</f>
        <v>19:45-20:10</v>
      </c>
      <c r="C299" s="59">
        <f>'NELIOTA (p&lt;0.5)'!C340</f>
        <v>0.24399999999999999</v>
      </c>
      <c r="D299" s="60" t="str">
        <f>'NELIOTA (p&lt;0.5)'!E340</f>
        <v>0</v>
      </c>
      <c r="E299" s="112" t="str">
        <f>'NELIOTA (p&lt;0.5)'!F340</f>
        <v>Not known</v>
      </c>
      <c r="G299" s="8">
        <f>'NELIOTA (p&lt;0.5)'!H340</f>
        <v>0</v>
      </c>
      <c r="H299" s="8">
        <f>'NELIOTA (p&lt;0.5)'!I340</f>
        <v>0</v>
      </c>
      <c r="I299" s="8">
        <f>'NELIOTA (p&lt;0.5)'!J340</f>
        <v>100</v>
      </c>
      <c r="K299" s="98">
        <f>'NELIOTA (p&lt;0.5)'!M340</f>
        <v>0</v>
      </c>
      <c r="L299" s="93">
        <f t="shared" si="331"/>
        <v>0</v>
      </c>
      <c r="N299" s="11">
        <v>0</v>
      </c>
      <c r="O299" s="11">
        <v>25</v>
      </c>
      <c r="P299" s="9">
        <f t="shared" si="332"/>
        <v>0.41666666666666669</v>
      </c>
      <c r="Q299" s="9">
        <f t="shared" si="333"/>
        <v>0.26</v>
      </c>
      <c r="R299" s="9">
        <f t="shared" si="334"/>
        <v>0.26</v>
      </c>
      <c r="S299" s="9">
        <f t="shared" si="335"/>
        <v>0</v>
      </c>
      <c r="T299" s="9">
        <f t="shared" si="336"/>
        <v>0.26</v>
      </c>
      <c r="U299" s="9">
        <f t="shared" si="337"/>
        <v>0</v>
      </c>
      <c r="V299" s="9">
        <f t="shared" si="338"/>
        <v>0</v>
      </c>
      <c r="W299" s="9">
        <f t="shared" si="339"/>
        <v>0.26</v>
      </c>
      <c r="X299" s="9"/>
      <c r="Y299" s="9"/>
      <c r="Z299" s="9"/>
      <c r="AA299" s="9"/>
    </row>
    <row r="300" spans="1:27" x14ac:dyDescent="0.25">
      <c r="A300" s="82">
        <f>'NELIOTA (p&lt;0.5)'!A341</f>
        <v>44096</v>
      </c>
      <c r="B300" s="58" t="str">
        <f>'NELIOTA (p&lt;0.5)'!B341</f>
        <v>19:45-20:35</v>
      </c>
      <c r="C300" s="59">
        <f>'NELIOTA (p&lt;0.5)'!C341</f>
        <v>0.35299999999999998</v>
      </c>
      <c r="D300" s="60" t="str">
        <f>'NELIOTA (p&lt;0.5)'!E341</f>
        <v>0</v>
      </c>
      <c r="E300" s="112" t="str">
        <f>'NELIOTA (p&lt;0.5)'!F341</f>
        <v>Not known</v>
      </c>
      <c r="G300" s="8">
        <f>'NELIOTA (p&lt;0.5)'!H341</f>
        <v>0</v>
      </c>
      <c r="H300" s="8">
        <f>'NELIOTA (p&lt;0.5)'!I341</f>
        <v>0</v>
      </c>
      <c r="I300" s="8">
        <f>'NELIOTA (p&lt;0.5)'!J341</f>
        <v>100</v>
      </c>
      <c r="K300" s="98">
        <f>'NELIOTA (p&lt;0.5)'!M341</f>
        <v>0</v>
      </c>
      <c r="L300" s="93">
        <f t="shared" si="331"/>
        <v>0</v>
      </c>
      <c r="N300" s="11">
        <v>0</v>
      </c>
      <c r="O300" s="11">
        <v>50</v>
      </c>
      <c r="P300" s="9">
        <f t="shared" si="332"/>
        <v>0.83333333333333337</v>
      </c>
      <c r="Q300" s="9">
        <f t="shared" si="333"/>
        <v>0.52</v>
      </c>
      <c r="R300" s="9">
        <f t="shared" si="334"/>
        <v>0.52</v>
      </c>
      <c r="S300" s="9">
        <f t="shared" si="335"/>
        <v>0</v>
      </c>
      <c r="T300" s="9">
        <f t="shared" si="336"/>
        <v>0.52</v>
      </c>
      <c r="U300" s="9">
        <f t="shared" si="337"/>
        <v>0</v>
      </c>
      <c r="V300" s="9">
        <f t="shared" si="338"/>
        <v>0</v>
      </c>
      <c r="W300" s="9">
        <f t="shared" si="339"/>
        <v>0.52</v>
      </c>
      <c r="X300" s="9">
        <f>SUM(U294:U300)</f>
        <v>0</v>
      </c>
      <c r="Y300" s="9">
        <f>100*X300/SUM(T294:T300)</f>
        <v>0</v>
      </c>
      <c r="Z300" s="9">
        <f>100*SUM(V295:V300)/SUM(T294:T300)</f>
        <v>0</v>
      </c>
      <c r="AA300" s="9">
        <f>100*SUM(W294:W300)/SUM(T294:T300)</f>
        <v>99.999999999999986</v>
      </c>
    </row>
    <row r="301" spans="1:27" s="48" customFormat="1" x14ac:dyDescent="0.25">
      <c r="A301" s="94">
        <f>'NELIOTA (p&lt;0.5)'!A342</f>
        <v>44115</v>
      </c>
      <c r="B301" s="62" t="str">
        <f>'NELIOTA (p&lt;0.5)'!B342</f>
        <v>02:55-07:15</v>
      </c>
      <c r="C301" s="63">
        <f>'NELIOTA (p&lt;0.5)'!C342</f>
        <v>0.4</v>
      </c>
      <c r="D301" s="64" t="str">
        <f>'NELIOTA (p&lt;0.5)'!E342</f>
        <v>0</v>
      </c>
      <c r="E301" s="119" t="str">
        <f>'NELIOTA (p&lt;0.5)'!F342</f>
        <v>Not known</v>
      </c>
      <c r="G301" s="24">
        <f>'NELIOTA (p&lt;0.5)'!H342</f>
        <v>0</v>
      </c>
      <c r="H301" s="24">
        <f>'NELIOTA (p&lt;0.5)'!I342</f>
        <v>0</v>
      </c>
      <c r="I301" s="24">
        <f>'NELIOTA (p&lt;0.5)'!J342</f>
        <v>100</v>
      </c>
      <c r="K301" s="101">
        <f>'NELIOTA (p&lt;0.5)'!M342</f>
        <v>0</v>
      </c>
      <c r="L301" s="92">
        <f t="shared" si="331"/>
        <v>0</v>
      </c>
      <c r="N301" s="47">
        <v>4</v>
      </c>
      <c r="O301" s="47">
        <v>20</v>
      </c>
      <c r="P301" s="33">
        <f t="shared" si="332"/>
        <v>4.333333333333333</v>
      </c>
      <c r="Q301" s="33">
        <f t="shared" si="333"/>
        <v>2.7039999999999997</v>
      </c>
      <c r="R301" s="33">
        <f t="shared" si="334"/>
        <v>2.7039999999999997</v>
      </c>
      <c r="S301" s="33">
        <f t="shared" si="335"/>
        <v>0</v>
      </c>
      <c r="T301" s="33">
        <f t="shared" si="336"/>
        <v>2.7039999999999997</v>
      </c>
      <c r="U301" s="33">
        <f t="shared" si="337"/>
        <v>0</v>
      </c>
      <c r="V301" s="33">
        <f t="shared" si="338"/>
        <v>0</v>
      </c>
      <c r="W301" s="33">
        <f t="shared" si="339"/>
        <v>2.7039999999999997</v>
      </c>
      <c r="X301" s="33"/>
      <c r="Y301" s="33"/>
      <c r="Z301" s="33"/>
      <c r="AA301" s="33"/>
    </row>
    <row r="302" spans="1:27" x14ac:dyDescent="0.25">
      <c r="A302" s="82">
        <f>'NELIOTA (p&lt;0.5)'!A343</f>
        <v>44116</v>
      </c>
      <c r="B302" s="58" t="str">
        <f>'NELIOTA (p&lt;0.5)'!B343</f>
        <v>04:00-07:15</v>
      </c>
      <c r="C302" s="59">
        <f>'NELIOTA (p&lt;0.5)'!C343</f>
        <v>0.29299999999999998</v>
      </c>
      <c r="D302" s="60" t="str">
        <f>'NELIOTA (p&lt;0.5)'!E343</f>
        <v>0</v>
      </c>
      <c r="E302" s="112" t="str">
        <f>'NELIOTA (p&lt;0.5)'!F343</f>
        <v>Not known</v>
      </c>
      <c r="G302" s="8">
        <f>'NELIOTA (p&lt;0.5)'!H343</f>
        <v>0</v>
      </c>
      <c r="H302" s="8">
        <f>'NELIOTA (p&lt;0.5)'!I343</f>
        <v>0</v>
      </c>
      <c r="I302" s="8">
        <f>'NELIOTA (p&lt;0.5)'!J343</f>
        <v>100</v>
      </c>
      <c r="K302" s="98">
        <f>'NELIOTA (p&lt;0.5)'!M343</f>
        <v>0</v>
      </c>
      <c r="L302" s="93">
        <f t="shared" ref="L302:L306" si="340">K302/3600</f>
        <v>0</v>
      </c>
      <c r="N302" s="11">
        <v>3</v>
      </c>
      <c r="O302" s="11">
        <v>15</v>
      </c>
      <c r="P302" s="9">
        <f t="shared" ref="P302:P306" si="341">N302+O302/60</f>
        <v>3.25</v>
      </c>
      <c r="Q302" s="9">
        <f t="shared" ref="Q302:Q306" si="342">P302*62.4%</f>
        <v>2.028</v>
      </c>
      <c r="R302" s="9">
        <f t="shared" ref="R302:R306" si="343">IF(G302=100,L302,Q302)</f>
        <v>2.028</v>
      </c>
      <c r="S302" s="9">
        <f t="shared" ref="S302:S306" si="344">100*L302/Q302</f>
        <v>0</v>
      </c>
      <c r="T302" s="9">
        <f t="shared" ref="T302:T306" si="345">R302</f>
        <v>2.028</v>
      </c>
      <c r="U302" s="9">
        <f t="shared" ref="U302:U306" si="346">L302</f>
        <v>0</v>
      </c>
      <c r="V302" s="9">
        <f t="shared" ref="V302:V306" si="347">T302*H302%</f>
        <v>0</v>
      </c>
      <c r="W302" s="9">
        <f t="shared" ref="W302:W306" si="348">T302*I302%</f>
        <v>2.028</v>
      </c>
      <c r="X302" s="9"/>
      <c r="Y302" s="9"/>
      <c r="Z302" s="9"/>
      <c r="AA302" s="9"/>
    </row>
    <row r="303" spans="1:27" x14ac:dyDescent="0.25">
      <c r="A303" s="82">
        <f>'NELIOTA (p&lt;0.5)'!A344</f>
        <v>44117</v>
      </c>
      <c r="B303" s="58" t="str">
        <f>'NELIOTA (p&lt;0.5)'!B344</f>
        <v>05:05-07:15</v>
      </c>
      <c r="C303" s="59">
        <f>'NELIOTA (p&lt;0.5)'!C344</f>
        <v>0.192</v>
      </c>
      <c r="D303" s="60" t="str">
        <f>'NELIOTA (p&lt;0.5)'!E344</f>
        <v>0</v>
      </c>
      <c r="E303" s="112" t="str">
        <f>'NELIOTA (p&lt;0.5)'!F344</f>
        <v>Not known</v>
      </c>
      <c r="G303" s="8">
        <f>'NELIOTA (p&lt;0.5)'!H344</f>
        <v>0</v>
      </c>
      <c r="H303" s="8">
        <f>'NELIOTA (p&lt;0.5)'!I344</f>
        <v>0</v>
      </c>
      <c r="I303" s="8">
        <f>'NELIOTA (p&lt;0.5)'!J344</f>
        <v>100</v>
      </c>
      <c r="K303" s="98">
        <f>'NELIOTA (p&lt;0.5)'!M344</f>
        <v>0</v>
      </c>
      <c r="L303" s="93">
        <f t="shared" si="340"/>
        <v>0</v>
      </c>
      <c r="N303" s="11">
        <v>2</v>
      </c>
      <c r="O303" s="11">
        <v>10</v>
      </c>
      <c r="P303" s="9">
        <f t="shared" si="341"/>
        <v>2.1666666666666665</v>
      </c>
      <c r="Q303" s="9">
        <f t="shared" si="342"/>
        <v>1.3519999999999999</v>
      </c>
      <c r="R303" s="9">
        <f t="shared" si="343"/>
        <v>1.3519999999999999</v>
      </c>
      <c r="S303" s="9">
        <f t="shared" si="344"/>
        <v>0</v>
      </c>
      <c r="T303" s="9">
        <f t="shared" si="345"/>
        <v>1.3519999999999999</v>
      </c>
      <c r="U303" s="9">
        <f t="shared" si="346"/>
        <v>0</v>
      </c>
      <c r="V303" s="9">
        <f t="shared" si="347"/>
        <v>0</v>
      </c>
      <c r="W303" s="9">
        <f t="shared" si="348"/>
        <v>1.3519999999999999</v>
      </c>
      <c r="X303" s="9"/>
      <c r="Y303" s="9"/>
      <c r="Z303" s="9"/>
      <c r="AA303" s="9"/>
    </row>
    <row r="304" spans="1:27" x14ac:dyDescent="0.25">
      <c r="A304" s="82">
        <f>'NELIOTA (p&lt;0.5)'!A345</f>
        <v>44118</v>
      </c>
      <c r="B304" s="58" t="str">
        <f>'NELIOTA (p&lt;0.5)'!B345</f>
        <v>06:15-07:15</v>
      </c>
      <c r="C304" s="59">
        <f>'NELIOTA (p&lt;0.5)'!C345</f>
        <v>0.106</v>
      </c>
      <c r="D304" s="60" t="str">
        <f>'NELIOTA (p&lt;0.5)'!E345</f>
        <v>0</v>
      </c>
      <c r="E304" s="112" t="str">
        <f>'NELIOTA (p&lt;0.5)'!F345</f>
        <v>Not known</v>
      </c>
      <c r="G304" s="8">
        <f>'NELIOTA (p&lt;0.5)'!H345</f>
        <v>0</v>
      </c>
      <c r="H304" s="8">
        <f>'NELIOTA (p&lt;0.5)'!I345</f>
        <v>0</v>
      </c>
      <c r="I304" s="8">
        <f>'NELIOTA (p&lt;0.5)'!J345</f>
        <v>100</v>
      </c>
      <c r="K304" s="98">
        <f>'NELIOTA (p&lt;0.5)'!M345</f>
        <v>0</v>
      </c>
      <c r="L304" s="93">
        <f t="shared" si="340"/>
        <v>0</v>
      </c>
      <c r="N304" s="11">
        <v>1</v>
      </c>
      <c r="O304" s="11">
        <v>0</v>
      </c>
      <c r="P304" s="9">
        <f t="shared" si="341"/>
        <v>1</v>
      </c>
      <c r="Q304" s="9">
        <f t="shared" si="342"/>
        <v>0.624</v>
      </c>
      <c r="R304" s="9">
        <f t="shared" si="343"/>
        <v>0.624</v>
      </c>
      <c r="S304" s="9">
        <f t="shared" si="344"/>
        <v>0</v>
      </c>
      <c r="T304" s="9">
        <f t="shared" si="345"/>
        <v>0.624</v>
      </c>
      <c r="U304" s="9">
        <f t="shared" si="346"/>
        <v>0</v>
      </c>
      <c r="V304" s="9">
        <f t="shared" si="347"/>
        <v>0</v>
      </c>
      <c r="W304" s="9">
        <f t="shared" si="348"/>
        <v>0.624</v>
      </c>
      <c r="X304" s="9"/>
      <c r="Y304" s="9"/>
      <c r="Z304" s="9"/>
      <c r="AA304" s="9"/>
    </row>
    <row r="305" spans="1:27" x14ac:dyDescent="0.25">
      <c r="A305" s="82">
        <f>'NELIOTA (p&lt;0.5)'!A346</f>
        <v>44125</v>
      </c>
      <c r="B305" s="58" t="str">
        <f>'NELIOTA (p&lt;0.5)'!B346</f>
        <v>19:05-19:55</v>
      </c>
      <c r="C305" s="59">
        <f>'NELIOTA (p&lt;0.5)'!C346</f>
        <v>0.30599999999999999</v>
      </c>
      <c r="D305" s="60" t="str">
        <f>'NELIOTA (p&lt;0.5)'!E346</f>
        <v>0</v>
      </c>
      <c r="E305" s="112" t="str">
        <f>'NELIOTA (p&lt;0.5)'!F346</f>
        <v>Not known</v>
      </c>
      <c r="G305" s="8">
        <f>'NELIOTA (p&lt;0.5)'!H346</f>
        <v>0</v>
      </c>
      <c r="H305" s="8">
        <f>'NELIOTA (p&lt;0.5)'!I346</f>
        <v>0</v>
      </c>
      <c r="I305" s="8">
        <f>'NELIOTA (p&lt;0.5)'!J346</f>
        <v>100</v>
      </c>
      <c r="K305" s="98">
        <f>'NELIOTA (p&lt;0.5)'!M346</f>
        <v>0</v>
      </c>
      <c r="L305" s="93">
        <f t="shared" si="340"/>
        <v>0</v>
      </c>
      <c r="N305" s="11">
        <v>0</v>
      </c>
      <c r="O305" s="11">
        <v>50</v>
      </c>
      <c r="P305" s="9">
        <f t="shared" si="341"/>
        <v>0.83333333333333337</v>
      </c>
      <c r="Q305" s="9">
        <f t="shared" si="342"/>
        <v>0.52</v>
      </c>
      <c r="R305" s="9">
        <f t="shared" si="343"/>
        <v>0.52</v>
      </c>
      <c r="S305" s="9">
        <f t="shared" si="344"/>
        <v>0</v>
      </c>
      <c r="T305" s="9">
        <f t="shared" si="345"/>
        <v>0.52</v>
      </c>
      <c r="U305" s="9">
        <f t="shared" si="346"/>
        <v>0</v>
      </c>
      <c r="V305" s="9">
        <f t="shared" si="347"/>
        <v>0</v>
      </c>
      <c r="W305" s="9">
        <f t="shared" si="348"/>
        <v>0.52</v>
      </c>
      <c r="X305" s="9"/>
      <c r="Y305" s="9"/>
      <c r="Z305" s="9"/>
      <c r="AA305" s="9"/>
    </row>
    <row r="306" spans="1:27" x14ac:dyDescent="0.25">
      <c r="A306" s="82">
        <f>'NELIOTA (p&lt;0.5)'!A347</f>
        <v>44126</v>
      </c>
      <c r="B306" s="58" t="str">
        <f>'NELIOTA (p&lt;0.5)'!B347</f>
        <v>19:05-20:55</v>
      </c>
      <c r="C306" s="59">
        <f>'NELIOTA (p&lt;0.5)'!C347</f>
        <v>0.41599999999999998</v>
      </c>
      <c r="D306" s="60" t="str">
        <f>'NELIOTA (p&lt;0.5)'!E347</f>
        <v>0</v>
      </c>
      <c r="E306" s="112" t="str">
        <f>'NELIOTA (p&lt;0.5)'!F347</f>
        <v>Not known</v>
      </c>
      <c r="G306" s="8">
        <f>'NELIOTA (p&lt;0.5)'!H347</f>
        <v>0</v>
      </c>
      <c r="H306" s="8">
        <f>'NELIOTA (p&lt;0.5)'!I347</f>
        <v>0</v>
      </c>
      <c r="I306" s="8">
        <f>'NELIOTA (p&lt;0.5)'!J347</f>
        <v>100</v>
      </c>
      <c r="K306" s="98">
        <f>'NELIOTA (p&lt;0.5)'!M347</f>
        <v>0</v>
      </c>
      <c r="L306" s="93">
        <f t="shared" si="340"/>
        <v>0</v>
      </c>
      <c r="N306" s="11">
        <v>1</v>
      </c>
      <c r="O306" s="11">
        <v>50</v>
      </c>
      <c r="P306" s="9">
        <f t="shared" si="341"/>
        <v>1.8333333333333335</v>
      </c>
      <c r="Q306" s="9">
        <f t="shared" si="342"/>
        <v>1.1440000000000001</v>
      </c>
      <c r="R306" s="9">
        <f t="shared" si="343"/>
        <v>1.1440000000000001</v>
      </c>
      <c r="S306" s="9">
        <f t="shared" si="344"/>
        <v>0</v>
      </c>
      <c r="T306" s="9">
        <f t="shared" si="345"/>
        <v>1.1440000000000001</v>
      </c>
      <c r="U306" s="9">
        <f t="shared" si="346"/>
        <v>0</v>
      </c>
      <c r="V306" s="9">
        <f t="shared" si="347"/>
        <v>0</v>
      </c>
      <c r="W306" s="9">
        <f t="shared" si="348"/>
        <v>1.1440000000000001</v>
      </c>
      <c r="X306" s="9">
        <f>SUM(U301:U306)</f>
        <v>0</v>
      </c>
      <c r="Y306" s="9">
        <f>100*X306/SUM(T301:T306)</f>
        <v>0</v>
      </c>
      <c r="Z306" s="9">
        <f>100*SUM(V301:V306)/SUM(T301:T306)</f>
        <v>0</v>
      </c>
      <c r="AA306" s="9">
        <f>100*SUM(W301:W306)/SUM(T301:T306)</f>
        <v>100</v>
      </c>
    </row>
    <row r="307" spans="1:27" s="48" customFormat="1" x14ac:dyDescent="0.25">
      <c r="A307" s="94"/>
      <c r="B307" s="62"/>
      <c r="C307" s="63"/>
      <c r="D307" s="64"/>
      <c r="E307" s="119"/>
      <c r="G307" s="24"/>
      <c r="H307" s="24"/>
      <c r="I307" s="24"/>
      <c r="K307" s="101"/>
      <c r="L307" s="92"/>
      <c r="N307" s="47"/>
      <c r="O307" s="47"/>
      <c r="P307" s="33"/>
      <c r="Q307" s="33"/>
      <c r="R307" s="33"/>
      <c r="S307" s="33"/>
      <c r="T307" s="33"/>
      <c r="U307" s="33"/>
      <c r="V307" s="33"/>
      <c r="W307" s="33"/>
      <c r="X307" s="33"/>
      <c r="Y307" s="33"/>
      <c r="Z307" s="33"/>
      <c r="AA307" s="33"/>
    </row>
    <row r="308" spans="1:27" x14ac:dyDescent="0.25">
      <c r="A308" s="82">
        <f>'NELIOTA (p&lt;0.5)'!A349</f>
        <v>44145</v>
      </c>
      <c r="B308" s="58" t="str">
        <f>'NELIOTA (p&lt;0.5)'!B349</f>
        <v>02:55-06:45</v>
      </c>
      <c r="C308" s="59">
        <f>'NELIOTA (p&lt;0.5)'!C349</f>
        <v>0.34200000000000003</v>
      </c>
      <c r="D308" s="60" t="str">
        <f>'NELIOTA (p&lt;0.5)'!E349</f>
        <v>0</v>
      </c>
      <c r="E308" s="112" t="str">
        <f>'NELIOTA (p&lt;0.5)'!F349</f>
        <v>Cloudiness</v>
      </c>
      <c r="G308" s="8">
        <f>'NELIOTA (p&lt;0.5)'!H349</f>
        <v>0</v>
      </c>
      <c r="H308" s="8">
        <f>'NELIOTA (p&lt;0.5)'!I349</f>
        <v>100</v>
      </c>
      <c r="I308" s="8">
        <f>'NELIOTA (p&lt;0.5)'!J349</f>
        <v>0</v>
      </c>
      <c r="K308" s="98">
        <f>'NELIOTA (p&lt;0.5)'!M349</f>
        <v>0</v>
      </c>
      <c r="L308" s="93">
        <f t="shared" ref="L308:L312" si="349">K308/3600</f>
        <v>0</v>
      </c>
      <c r="N308" s="11">
        <v>3</v>
      </c>
      <c r="O308" s="11">
        <v>50</v>
      </c>
      <c r="P308" s="9">
        <f t="shared" ref="P308:P312" si="350">N308+O308/60</f>
        <v>3.8333333333333335</v>
      </c>
      <c r="Q308" s="9">
        <f t="shared" ref="Q308:Q312" si="351">P308*62.4%</f>
        <v>2.3919999999999999</v>
      </c>
      <c r="R308" s="9">
        <f t="shared" ref="R308:R312" si="352">IF(G308=100,L308,Q308)</f>
        <v>2.3919999999999999</v>
      </c>
      <c r="S308" s="9">
        <f t="shared" ref="S308:S312" si="353">100*L308/Q308</f>
        <v>0</v>
      </c>
      <c r="T308" s="9">
        <f t="shared" ref="T308:T312" si="354">R308</f>
        <v>2.3919999999999999</v>
      </c>
      <c r="U308" s="9">
        <f t="shared" ref="U308:U312" si="355">L308</f>
        <v>0</v>
      </c>
      <c r="V308" s="9">
        <f t="shared" ref="V308:V312" si="356">T308*H308%</f>
        <v>2.3919999999999999</v>
      </c>
      <c r="W308" s="9">
        <f t="shared" ref="W308:W312" si="357">T308*I308%</f>
        <v>0</v>
      </c>
      <c r="X308" s="9"/>
      <c r="Y308" s="9"/>
      <c r="Z308" s="9"/>
      <c r="AA308" s="9"/>
    </row>
    <row r="309" spans="1:27" x14ac:dyDescent="0.25">
      <c r="A309" s="82">
        <f>'NELIOTA (p&lt;0.5)'!A350</f>
        <v>44146</v>
      </c>
      <c r="B309" s="58" t="str">
        <f>'NELIOTA (p&lt;0.5)'!B350</f>
        <v>04:05-06:45</v>
      </c>
      <c r="C309" s="59">
        <f>'NELIOTA (p&lt;0.5)'!C350</f>
        <v>0.23300000000000001</v>
      </c>
      <c r="D309" s="60" t="str">
        <f>'NELIOTA (p&lt;0.5)'!E350</f>
        <v>0</v>
      </c>
      <c r="E309" s="112" t="str">
        <f>'NELIOTA (p&lt;0.5)'!F350</f>
        <v>Cloudiness</v>
      </c>
      <c r="G309" s="8">
        <f>'NELIOTA (p&lt;0.5)'!H350</f>
        <v>0</v>
      </c>
      <c r="H309" s="8">
        <f>'NELIOTA (p&lt;0.5)'!I350</f>
        <v>100</v>
      </c>
      <c r="I309" s="8">
        <f>'NELIOTA (p&lt;0.5)'!J350</f>
        <v>0</v>
      </c>
      <c r="K309" s="98">
        <f>'NELIOTA (p&lt;0.5)'!M350</f>
        <v>0</v>
      </c>
      <c r="L309" s="93">
        <f t="shared" si="349"/>
        <v>0</v>
      </c>
      <c r="N309" s="11">
        <v>2</v>
      </c>
      <c r="O309" s="11">
        <v>40</v>
      </c>
      <c r="P309" s="9">
        <f t="shared" si="350"/>
        <v>2.6666666666666665</v>
      </c>
      <c r="Q309" s="9">
        <f t="shared" si="351"/>
        <v>1.6639999999999999</v>
      </c>
      <c r="R309" s="9">
        <f t="shared" si="352"/>
        <v>1.6639999999999999</v>
      </c>
      <c r="S309" s="9">
        <f t="shared" si="353"/>
        <v>0</v>
      </c>
      <c r="T309" s="9">
        <f t="shared" si="354"/>
        <v>1.6639999999999999</v>
      </c>
      <c r="U309" s="9">
        <f t="shared" si="355"/>
        <v>0</v>
      </c>
      <c r="V309" s="9">
        <f t="shared" si="356"/>
        <v>1.6639999999999999</v>
      </c>
      <c r="W309" s="9">
        <f t="shared" si="357"/>
        <v>0</v>
      </c>
      <c r="X309" s="9"/>
      <c r="Y309" s="9"/>
      <c r="Z309" s="9"/>
      <c r="AA309" s="9"/>
    </row>
    <row r="310" spans="1:27" x14ac:dyDescent="0.25">
      <c r="A310" s="82">
        <f>'NELIOTA (p&lt;0.5)'!A351</f>
        <v>44147</v>
      </c>
      <c r="B310" s="58" t="str">
        <f>'NELIOTA (p&lt;0.5)'!B351</f>
        <v>05:15-06:45</v>
      </c>
      <c r="C310" s="59">
        <f>'NELIOTA (p&lt;0.5)'!C351</f>
        <v>0.13700000000000001</v>
      </c>
      <c r="D310" s="60" t="str">
        <f>'NELIOTA (p&lt;0.5)'!E351</f>
        <v>0</v>
      </c>
      <c r="E310" s="112" t="str">
        <f>'NELIOTA (p&lt;0.5)'!F351</f>
        <v>Cloudiness</v>
      </c>
      <c r="G310" s="8">
        <f>'NELIOTA (p&lt;0.5)'!H351</f>
        <v>0</v>
      </c>
      <c r="H310" s="8">
        <f>'NELIOTA (p&lt;0.5)'!I351</f>
        <v>100</v>
      </c>
      <c r="I310" s="8">
        <f>'NELIOTA (p&lt;0.5)'!J351</f>
        <v>0</v>
      </c>
      <c r="K310" s="98">
        <f>'NELIOTA (p&lt;0.5)'!M351</f>
        <v>0</v>
      </c>
      <c r="L310" s="93">
        <f t="shared" si="349"/>
        <v>0</v>
      </c>
      <c r="N310" s="11">
        <v>1</v>
      </c>
      <c r="O310" s="11">
        <v>30</v>
      </c>
      <c r="P310" s="9">
        <f t="shared" si="350"/>
        <v>1.5</v>
      </c>
      <c r="Q310" s="9">
        <f t="shared" si="351"/>
        <v>0.93599999999999994</v>
      </c>
      <c r="R310" s="9">
        <f t="shared" si="352"/>
        <v>0.93599999999999994</v>
      </c>
      <c r="S310" s="9">
        <f t="shared" si="353"/>
        <v>0</v>
      </c>
      <c r="T310" s="9">
        <f t="shared" si="354"/>
        <v>0.93599999999999994</v>
      </c>
      <c r="U310" s="9">
        <f t="shared" si="355"/>
        <v>0</v>
      </c>
      <c r="V310" s="9">
        <f t="shared" si="356"/>
        <v>0.93599999999999994</v>
      </c>
      <c r="W310" s="9">
        <f t="shared" si="357"/>
        <v>0</v>
      </c>
      <c r="X310" s="9"/>
      <c r="Y310" s="9"/>
      <c r="Z310" s="9"/>
      <c r="AA310" s="9"/>
    </row>
    <row r="311" spans="1:27" x14ac:dyDescent="0.25">
      <c r="A311" s="82">
        <f>'NELIOTA (p&lt;0.5)'!A352</f>
        <v>44154</v>
      </c>
      <c r="B311" s="58" t="str">
        <f>'NELIOTA (p&lt;0.5)'!B352</f>
        <v>17:35-18:50</v>
      </c>
      <c r="C311" s="59">
        <f>'NELIOTA (p&lt;0.5)'!C352</f>
        <v>0.252</v>
      </c>
      <c r="D311" s="60" t="str">
        <f>'NELIOTA (p&lt;0.5)'!E352</f>
        <v>0</v>
      </c>
      <c r="E311" s="112" t="str">
        <f>'NELIOTA (p&lt;0.5)'!F352</f>
        <v>Cloudiness</v>
      </c>
      <c r="G311" s="8">
        <f>'NELIOTA (p&lt;0.5)'!H352</f>
        <v>0</v>
      </c>
      <c r="H311" s="8">
        <f>'NELIOTA (p&lt;0.5)'!I352</f>
        <v>100</v>
      </c>
      <c r="I311" s="8">
        <f>'NELIOTA (p&lt;0.5)'!J352</f>
        <v>0</v>
      </c>
      <c r="K311" s="98">
        <f>'NELIOTA (p&lt;0.5)'!M352</f>
        <v>0</v>
      </c>
      <c r="L311" s="93">
        <f t="shared" si="349"/>
        <v>0</v>
      </c>
      <c r="N311" s="11">
        <v>1</v>
      </c>
      <c r="O311" s="11">
        <v>15</v>
      </c>
      <c r="P311" s="9">
        <f t="shared" si="350"/>
        <v>1.25</v>
      </c>
      <c r="Q311" s="9">
        <f t="shared" si="351"/>
        <v>0.78</v>
      </c>
      <c r="R311" s="9">
        <f t="shared" si="352"/>
        <v>0.78</v>
      </c>
      <c r="S311" s="9">
        <f t="shared" si="353"/>
        <v>0</v>
      </c>
      <c r="T311" s="9">
        <f t="shared" si="354"/>
        <v>0.78</v>
      </c>
      <c r="U311" s="9">
        <f t="shared" si="355"/>
        <v>0</v>
      </c>
      <c r="V311" s="9">
        <f t="shared" si="356"/>
        <v>0.78</v>
      </c>
      <c r="W311" s="9">
        <f t="shared" si="357"/>
        <v>0</v>
      </c>
      <c r="X311" s="9"/>
      <c r="Y311" s="9"/>
      <c r="Z311" s="9"/>
      <c r="AA311" s="9"/>
    </row>
    <row r="312" spans="1:27" x14ac:dyDescent="0.25">
      <c r="A312" s="82">
        <f>'NELIOTA (p&lt;0.5)'!A353</f>
        <v>44155</v>
      </c>
      <c r="B312" s="58" t="str">
        <f>'NELIOTA (p&lt;0.5)'!B353</f>
        <v>17:35-20:00</v>
      </c>
      <c r="C312" s="59">
        <f>'NELIOTA (p&lt;0.5)'!C353</f>
        <v>0.35599999999999998</v>
      </c>
      <c r="D312" s="60" t="str">
        <f>'NELIOTA (p&lt;0.5)'!E353</f>
        <v>0</v>
      </c>
      <c r="E312" s="112" t="str">
        <f>'NELIOTA (p&lt;0.5)'!F353</f>
        <v>good</v>
      </c>
      <c r="G312" s="8">
        <f>'NELIOTA (p&lt;0.5)'!H353</f>
        <v>15</v>
      </c>
      <c r="H312" s="8">
        <f>'NELIOTA (p&lt;0.5)'!I353</f>
        <v>85</v>
      </c>
      <c r="I312" s="8">
        <f>'NELIOTA (p&lt;0.5)'!J353</f>
        <v>0</v>
      </c>
      <c r="K312" s="98">
        <f>'NELIOTA (p&lt;0.5)'!M353</f>
        <v>968.25</v>
      </c>
      <c r="L312" s="93">
        <f t="shared" si="349"/>
        <v>0.26895833333333335</v>
      </c>
      <c r="N312" s="11">
        <v>2</v>
      </c>
      <c r="O312" s="11">
        <v>25</v>
      </c>
      <c r="P312" s="9">
        <f t="shared" si="350"/>
        <v>2.4166666666666665</v>
      </c>
      <c r="Q312" s="9">
        <f t="shared" si="351"/>
        <v>1.508</v>
      </c>
      <c r="R312" s="9">
        <f t="shared" si="352"/>
        <v>1.508</v>
      </c>
      <c r="S312" s="9">
        <f t="shared" si="353"/>
        <v>17.835433244916004</v>
      </c>
      <c r="T312" s="9">
        <f t="shared" si="354"/>
        <v>1.508</v>
      </c>
      <c r="U312" s="9">
        <f t="shared" si="355"/>
        <v>0.26895833333333335</v>
      </c>
      <c r="V312" s="9">
        <f t="shared" si="356"/>
        <v>1.2818000000000001</v>
      </c>
      <c r="W312" s="9">
        <f t="shared" si="357"/>
        <v>0</v>
      </c>
      <c r="X312" s="9">
        <f>SUM(U308:U312)</f>
        <v>0.26895833333333335</v>
      </c>
      <c r="Y312" s="9">
        <f>100*X312/SUM(T308:T312)</f>
        <v>3.6944826007326008</v>
      </c>
      <c r="Z312" s="9">
        <f>100*SUM(V308:V312)/SUM(T308:T312)</f>
        <v>96.892857142857153</v>
      </c>
      <c r="AA312" s="9">
        <f>100*SUM(W308:W312)/SUM(T308:T312)</f>
        <v>0</v>
      </c>
    </row>
    <row r="313" spans="1:27" s="48" customFormat="1" x14ac:dyDescent="0.25">
      <c r="A313" s="94">
        <f>'NELIOTA (p&lt;0.5)'!A354</f>
        <v>44174</v>
      </c>
      <c r="B313" s="62" t="str">
        <f>'NELIOTA (p&lt;0.5)'!B354</f>
        <v>03:00-07:15</v>
      </c>
      <c r="C313" s="63">
        <f>'NELIOTA (p&lt;0.5)'!C354</f>
        <v>0.38700000000000001</v>
      </c>
      <c r="D313" s="64" t="str">
        <f>'NELIOTA (p&lt;0.5)'!E354</f>
        <v>1</v>
      </c>
      <c r="E313" s="119" t="str">
        <f>'NELIOTA (p&lt;0.5)'!F354</f>
        <v>moderate</v>
      </c>
      <c r="G313" s="24">
        <f>'NELIOTA (p&lt;0.5)'!H354</f>
        <v>13</v>
      </c>
      <c r="H313" s="24">
        <f>'NELIOTA (p&lt;0.5)'!I354</f>
        <v>87</v>
      </c>
      <c r="I313" s="24">
        <f>'NELIOTA (p&lt;0.5)'!J354</f>
        <v>0</v>
      </c>
      <c r="K313" s="101">
        <f>'NELIOTA (p&lt;0.5)'!M354</f>
        <v>1408</v>
      </c>
      <c r="L313" s="92">
        <f t="shared" ref="L313:L314" si="358">K313/3600</f>
        <v>0.39111111111111113</v>
      </c>
      <c r="N313" s="47">
        <v>4</v>
      </c>
      <c r="O313" s="47">
        <v>30</v>
      </c>
      <c r="P313" s="33">
        <f t="shared" ref="P313:P314" si="359">N313+O313/60</f>
        <v>4.5</v>
      </c>
      <c r="Q313" s="33">
        <f t="shared" ref="Q313:Q314" si="360">P313*62.4%</f>
        <v>2.8079999999999998</v>
      </c>
      <c r="R313" s="33">
        <f t="shared" ref="R313:R314" si="361">IF(G313=100,L313,Q313)</f>
        <v>2.8079999999999998</v>
      </c>
      <c r="S313" s="33">
        <f t="shared" ref="S313:S314" si="362">100*L313/Q313</f>
        <v>13.928458372902819</v>
      </c>
      <c r="T313" s="33">
        <f t="shared" ref="T313:T314" si="363">R313</f>
        <v>2.8079999999999998</v>
      </c>
      <c r="U313" s="33">
        <f t="shared" ref="U313:U314" si="364">L313</f>
        <v>0.39111111111111113</v>
      </c>
      <c r="V313" s="33">
        <f t="shared" ref="V313:V314" si="365">T313*H313%</f>
        <v>2.4429599999999998</v>
      </c>
      <c r="W313" s="33">
        <f t="shared" ref="W313:W314" si="366">T313*I313%</f>
        <v>0</v>
      </c>
      <c r="X313" s="33"/>
      <c r="Y313" s="33"/>
      <c r="Z313" s="33"/>
      <c r="AA313" s="33"/>
    </row>
    <row r="314" spans="1:27" x14ac:dyDescent="0.25">
      <c r="A314" s="82">
        <f>'NELIOTA (p&lt;0.5)'!A355</f>
        <v>44175</v>
      </c>
      <c r="B314" s="58" t="str">
        <f>'NELIOTA (p&lt;0.5)'!B355</f>
        <v>04:10-07:15</v>
      </c>
      <c r="C314" s="59">
        <f>'NELIOTA (p&lt;0.5)'!C355</f>
        <v>0.27300000000000002</v>
      </c>
      <c r="D314" s="60" t="str">
        <f>'NELIOTA (p&lt;0.5)'!E355</f>
        <v>0</v>
      </c>
      <c r="E314" s="112" t="str">
        <f>'NELIOTA (p&lt;0.5)'!F355</f>
        <v>Cloudiness</v>
      </c>
      <c r="G314" s="8">
        <f>'NELIOTA (p&lt;0.5)'!H355</f>
        <v>0</v>
      </c>
      <c r="H314" s="8">
        <f>'NELIOTA (p&lt;0.5)'!I355</f>
        <v>100</v>
      </c>
      <c r="I314" s="8">
        <f>'NELIOTA (p&lt;0.5)'!J355</f>
        <v>0</v>
      </c>
      <c r="K314" s="98">
        <f>'NELIOTA (p&lt;0.5)'!M355</f>
        <v>0</v>
      </c>
      <c r="L314" s="93">
        <f t="shared" si="358"/>
        <v>0</v>
      </c>
      <c r="N314" s="11">
        <v>3</v>
      </c>
      <c r="O314" s="11">
        <v>5</v>
      </c>
      <c r="P314" s="9">
        <f t="shared" si="359"/>
        <v>3.0833333333333335</v>
      </c>
      <c r="Q314" s="9">
        <f t="shared" si="360"/>
        <v>1.9240000000000002</v>
      </c>
      <c r="R314" s="9">
        <f t="shared" si="361"/>
        <v>1.9240000000000002</v>
      </c>
      <c r="S314" s="9">
        <f t="shared" si="362"/>
        <v>0</v>
      </c>
      <c r="T314" s="9">
        <f t="shared" si="363"/>
        <v>1.9240000000000002</v>
      </c>
      <c r="U314" s="9">
        <f t="shared" si="364"/>
        <v>0</v>
      </c>
      <c r="V314" s="9">
        <f t="shared" si="365"/>
        <v>1.9240000000000002</v>
      </c>
      <c r="W314" s="9">
        <f t="shared" si="366"/>
        <v>0</v>
      </c>
      <c r="X314" s="9"/>
      <c r="Y314" s="9"/>
      <c r="Z314" s="9"/>
      <c r="AA314" s="9"/>
    </row>
    <row r="315" spans="1:27" x14ac:dyDescent="0.25">
      <c r="A315" s="82">
        <f>'NELIOTA (p&lt;0.5)'!A356</f>
        <v>44176</v>
      </c>
      <c r="B315" s="58" t="str">
        <f>'NELIOTA (p&lt;0.5)'!B356</f>
        <v>05:25-07:15</v>
      </c>
      <c r="C315" s="59">
        <f>'NELIOTA (p&lt;0.5)'!C356</f>
        <v>0.17</v>
      </c>
      <c r="D315" s="60" t="str">
        <f>'NELIOTA (p&lt;0.5)'!E356</f>
        <v>0</v>
      </c>
      <c r="E315" s="112" t="str">
        <f>'NELIOTA (p&lt;0.5)'!F356</f>
        <v>Cloudiness</v>
      </c>
      <c r="G315" s="8">
        <f>'NELIOTA (p&lt;0.5)'!H356</f>
        <v>0</v>
      </c>
      <c r="H315" s="8">
        <f>'NELIOTA (p&lt;0.5)'!I356</f>
        <v>100</v>
      </c>
      <c r="I315" s="8">
        <f>'NELIOTA (p&lt;0.5)'!J356</f>
        <v>0</v>
      </c>
      <c r="K315" s="98">
        <f>'NELIOTA (p&lt;0.5)'!M356</f>
        <v>0</v>
      </c>
      <c r="L315" s="93">
        <f t="shared" ref="L315:L318" si="367">K315/3600</f>
        <v>0</v>
      </c>
      <c r="N315" s="11">
        <v>1</v>
      </c>
      <c r="O315" s="11">
        <v>50</v>
      </c>
      <c r="P315" s="9">
        <f t="shared" ref="P315:P318" si="368">N315+O315/60</f>
        <v>1.8333333333333335</v>
      </c>
      <c r="Q315" s="9">
        <f t="shared" ref="Q315:Q318" si="369">P315*62.4%</f>
        <v>1.1440000000000001</v>
      </c>
      <c r="R315" s="9">
        <f t="shared" ref="R315:R318" si="370">IF(G315=100,L315,Q315)</f>
        <v>1.1440000000000001</v>
      </c>
      <c r="S315" s="9">
        <f t="shared" ref="S315:S318" si="371">100*L315/Q315</f>
        <v>0</v>
      </c>
      <c r="T315" s="9">
        <f t="shared" ref="T315:T318" si="372">R315</f>
        <v>1.1440000000000001</v>
      </c>
      <c r="U315" s="9">
        <f t="shared" ref="U315:U318" si="373">L315</f>
        <v>0</v>
      </c>
      <c r="V315" s="9">
        <f t="shared" ref="V315:V318" si="374">T315*H315%</f>
        <v>1.1440000000000001</v>
      </c>
      <c r="W315" s="9">
        <f t="shared" ref="W315:W318" si="375">T315*I315%</f>
        <v>0</v>
      </c>
      <c r="X315" s="9"/>
      <c r="Y315" s="9"/>
      <c r="Z315" s="9"/>
      <c r="AA315" s="9"/>
    </row>
    <row r="316" spans="1:27" x14ac:dyDescent="0.25">
      <c r="A316" s="82">
        <f>'NELIOTA (p&lt;0.5)'!A357</f>
        <v>44183</v>
      </c>
      <c r="B316" s="58" t="str">
        <f>'NELIOTA (p&lt;0.5)'!B357</f>
        <v>17:35-18:55</v>
      </c>
      <c r="C316" s="59">
        <f>'NELIOTA (p&lt;0.5)'!C357</f>
        <v>0.19400000000000001</v>
      </c>
      <c r="D316" s="60" t="str">
        <f>'NELIOTA (p&lt;0.5)'!E357</f>
        <v>0</v>
      </c>
      <c r="E316" s="112" t="str">
        <f>'NELIOTA (p&lt;0.5)'!F357</f>
        <v>Cloudiness</v>
      </c>
      <c r="G316" s="8">
        <f>'NELIOTA (p&lt;0.5)'!H357</f>
        <v>0</v>
      </c>
      <c r="H316" s="8">
        <f>'NELIOTA (p&lt;0.5)'!I357</f>
        <v>100</v>
      </c>
      <c r="I316" s="8">
        <f>'NELIOTA (p&lt;0.5)'!J357</f>
        <v>0</v>
      </c>
      <c r="K316" s="98">
        <f>'NELIOTA (p&lt;0.5)'!M357</f>
        <v>0</v>
      </c>
      <c r="L316" s="93">
        <f t="shared" si="367"/>
        <v>0</v>
      </c>
      <c r="N316" s="11">
        <v>1</v>
      </c>
      <c r="O316" s="11">
        <v>20</v>
      </c>
      <c r="P316" s="9">
        <f t="shared" si="368"/>
        <v>1.3333333333333333</v>
      </c>
      <c r="Q316" s="9">
        <f t="shared" si="369"/>
        <v>0.83199999999999996</v>
      </c>
      <c r="R316" s="9">
        <f t="shared" si="370"/>
        <v>0.83199999999999996</v>
      </c>
      <c r="S316" s="9">
        <f t="shared" si="371"/>
        <v>0</v>
      </c>
      <c r="T316" s="9">
        <f t="shared" si="372"/>
        <v>0.83199999999999996</v>
      </c>
      <c r="U316" s="9">
        <f t="shared" si="373"/>
        <v>0</v>
      </c>
      <c r="V316" s="9">
        <f t="shared" si="374"/>
        <v>0.83199999999999996</v>
      </c>
      <c r="W316" s="9">
        <f t="shared" si="375"/>
        <v>0</v>
      </c>
      <c r="X316" s="9"/>
      <c r="Y316" s="9"/>
      <c r="Z316" s="9"/>
      <c r="AA316" s="9"/>
    </row>
    <row r="317" spans="1:27" x14ac:dyDescent="0.25">
      <c r="A317" s="82">
        <f>'NELIOTA (p&lt;0.5)'!A358</f>
        <v>44184</v>
      </c>
      <c r="B317" s="58" t="str">
        <f>'NELIOTA (p&lt;0.5)'!B358</f>
        <v>17:35-20:10</v>
      </c>
      <c r="C317" s="59">
        <f>'NELIOTA (p&lt;0.5)'!C358</f>
        <v>0.28799999999999998</v>
      </c>
      <c r="D317" s="60" t="str">
        <f>'NELIOTA (p&lt;0.5)'!E358</f>
        <v>0</v>
      </c>
      <c r="E317" s="112" t="str">
        <f>'NELIOTA (p&lt;0.5)'!F358</f>
        <v>Cloudiness</v>
      </c>
      <c r="G317" s="8">
        <f>'NELIOTA (p&lt;0.5)'!H358</f>
        <v>0</v>
      </c>
      <c r="H317" s="8">
        <f>'NELIOTA (p&lt;0.5)'!I358</f>
        <v>100</v>
      </c>
      <c r="I317" s="8">
        <f>'NELIOTA (p&lt;0.5)'!J358</f>
        <v>0</v>
      </c>
      <c r="K317" s="98">
        <f>'NELIOTA (p&lt;0.5)'!M358</f>
        <v>0</v>
      </c>
      <c r="L317" s="93">
        <f t="shared" si="367"/>
        <v>0</v>
      </c>
      <c r="N317" s="11">
        <v>2</v>
      </c>
      <c r="O317" s="11">
        <v>35</v>
      </c>
      <c r="P317" s="9">
        <f t="shared" si="368"/>
        <v>2.5833333333333335</v>
      </c>
      <c r="Q317" s="9">
        <f t="shared" si="369"/>
        <v>1.6120000000000001</v>
      </c>
      <c r="R317" s="9">
        <f t="shared" si="370"/>
        <v>1.6120000000000001</v>
      </c>
      <c r="S317" s="9">
        <f t="shared" si="371"/>
        <v>0</v>
      </c>
      <c r="T317" s="9">
        <f t="shared" si="372"/>
        <v>1.6120000000000001</v>
      </c>
      <c r="U317" s="9">
        <f t="shared" si="373"/>
        <v>0</v>
      </c>
      <c r="V317" s="9">
        <f t="shared" si="374"/>
        <v>1.6120000000000001</v>
      </c>
      <c r="W317" s="9">
        <f t="shared" si="375"/>
        <v>0</v>
      </c>
      <c r="X317" s="9"/>
      <c r="Y317" s="9"/>
      <c r="Z317" s="9"/>
      <c r="AA317" s="9"/>
    </row>
    <row r="318" spans="1:27" x14ac:dyDescent="0.25">
      <c r="A318" s="82">
        <f>'NELIOTA (p&lt;0.5)'!A359</f>
        <v>44185</v>
      </c>
      <c r="B318" s="58" t="str">
        <f>'NELIOTA (p&lt;0.5)'!B359</f>
        <v>17:35-21:20</v>
      </c>
      <c r="C318" s="59">
        <f>'NELIOTA (p&lt;0.5)'!C359</f>
        <v>0.38700000000000001</v>
      </c>
      <c r="D318" s="60" t="str">
        <f>'NELIOTA (p&lt;0.5)'!E359</f>
        <v>0</v>
      </c>
      <c r="E318" s="112" t="str">
        <f>'NELIOTA (p&lt;0.5)'!F359</f>
        <v>Cloudiness</v>
      </c>
      <c r="G318" s="8">
        <f>'NELIOTA (p&lt;0.5)'!H359</f>
        <v>0</v>
      </c>
      <c r="H318" s="8">
        <f>'NELIOTA (p&lt;0.5)'!I359</f>
        <v>100</v>
      </c>
      <c r="I318" s="8">
        <f>'NELIOTA (p&lt;0.5)'!J359</f>
        <v>0</v>
      </c>
      <c r="K318" s="98">
        <f>'NELIOTA (p&lt;0.5)'!M359</f>
        <v>0</v>
      </c>
      <c r="L318" s="93">
        <f t="shared" si="367"/>
        <v>0</v>
      </c>
      <c r="N318" s="11">
        <v>3</v>
      </c>
      <c r="O318" s="11">
        <v>45</v>
      </c>
      <c r="P318" s="9">
        <f t="shared" si="368"/>
        <v>3.75</v>
      </c>
      <c r="Q318" s="9">
        <f t="shared" si="369"/>
        <v>2.34</v>
      </c>
      <c r="R318" s="9">
        <f t="shared" si="370"/>
        <v>2.34</v>
      </c>
      <c r="S318" s="9">
        <f t="shared" si="371"/>
        <v>0</v>
      </c>
      <c r="T318" s="9">
        <f t="shared" si="372"/>
        <v>2.34</v>
      </c>
      <c r="U318" s="9">
        <f t="shared" si="373"/>
        <v>0</v>
      </c>
      <c r="V318" s="9">
        <f t="shared" si="374"/>
        <v>2.34</v>
      </c>
      <c r="W318" s="9">
        <f t="shared" si="375"/>
        <v>0</v>
      </c>
      <c r="X318" s="9">
        <f>SUM(U313:U318)</f>
        <v>0.39111111111111113</v>
      </c>
      <c r="Y318" s="9">
        <f>100*X318/SUM(T313:T318)</f>
        <v>3.6689597665207425</v>
      </c>
      <c r="Z318" s="9">
        <f>100*SUM(V313:V318)/SUM(T313:T318)</f>
        <v>96.575609756097549</v>
      </c>
      <c r="AA318" s="9">
        <f>100*SUM(W313:W318)/SUM(T313:T318)</f>
        <v>0</v>
      </c>
    </row>
    <row r="319" spans="1:27" s="48" customFormat="1" x14ac:dyDescent="0.25">
      <c r="A319" s="94">
        <f>'NELIOTA (p&lt;0.5)'!A361</f>
        <v>44203</v>
      </c>
      <c r="B319" s="62" t="str">
        <f>'NELIOTA (p&lt;0.5)'!B361</f>
        <v>03:15-07:15</v>
      </c>
      <c r="C319" s="63">
        <f>'NELIOTA (p&lt;0.5)'!C361</f>
        <v>0.42699999999999999</v>
      </c>
      <c r="D319" s="64" t="str">
        <f>'NELIOTA (p&lt;0.5)'!E361</f>
        <v>0</v>
      </c>
      <c r="E319" s="119" t="str">
        <f>'NELIOTA (p&lt;0.5)'!F361</f>
        <v>Cloudiness</v>
      </c>
      <c r="G319" s="24">
        <f>'NELIOTA (p&lt;0.5)'!H361</f>
        <v>0</v>
      </c>
      <c r="H319" s="24">
        <f>'NELIOTA (p&lt;0.5)'!I361</f>
        <v>100</v>
      </c>
      <c r="I319" s="24">
        <f>'NELIOTA (p&lt;0.5)'!J361</f>
        <v>0</v>
      </c>
      <c r="K319" s="101">
        <f>'NELIOTA (p&lt;0.5)'!M361</f>
        <v>0</v>
      </c>
      <c r="L319" s="92">
        <f t="shared" ref="L319:L320" si="376">K319/3600</f>
        <v>0</v>
      </c>
      <c r="N319" s="47">
        <v>4</v>
      </c>
      <c r="O319" s="47">
        <v>0</v>
      </c>
      <c r="P319" s="33">
        <f t="shared" ref="P319:P320" si="377">N319+O319/60</f>
        <v>4</v>
      </c>
      <c r="Q319" s="33">
        <f t="shared" ref="Q319:Q320" si="378">P319*62.4%</f>
        <v>2.496</v>
      </c>
      <c r="R319" s="33">
        <f t="shared" ref="R319:R320" si="379">IF(G319=100,L319,Q319)</f>
        <v>2.496</v>
      </c>
      <c r="S319" s="33">
        <f t="shared" ref="S319:S320" si="380">100*L319/Q319</f>
        <v>0</v>
      </c>
      <c r="T319" s="33">
        <f t="shared" ref="T319:T320" si="381">R319</f>
        <v>2.496</v>
      </c>
      <c r="U319" s="33">
        <f t="shared" ref="U319:U320" si="382">L319</f>
        <v>0</v>
      </c>
      <c r="V319" s="33">
        <f t="shared" ref="V319:V320" si="383">T319*H319%</f>
        <v>2.496</v>
      </c>
      <c r="W319" s="33">
        <f t="shared" ref="W319:W320" si="384">T319*I319%</f>
        <v>0</v>
      </c>
    </row>
    <row r="320" spans="1:27" x14ac:dyDescent="0.25">
      <c r="A320" s="82">
        <f>'NELIOTA (p&lt;0.5)'!A362</f>
        <v>44204</v>
      </c>
      <c r="B320" s="58" t="str">
        <f>'NELIOTA (p&lt;0.5)'!B362</f>
        <v>04:30-07:15</v>
      </c>
      <c r="C320" s="59">
        <f>'NELIOTA (p&lt;0.5)'!C362</f>
        <v>0.31</v>
      </c>
      <c r="D320" s="60" t="str">
        <f>'NELIOTA (p&lt;0.5)'!E362</f>
        <v>0</v>
      </c>
      <c r="E320" s="112" t="str">
        <f>'NELIOTA (p&lt;0.5)'!F362</f>
        <v>moderate to bad</v>
      </c>
      <c r="G320" s="8">
        <f>'NELIOTA (p&lt;0.5)'!H362</f>
        <v>52</v>
      </c>
      <c r="H320" s="8">
        <f>'NELIOTA (p&lt;0.5)'!I362</f>
        <v>48</v>
      </c>
      <c r="I320" s="8">
        <f>'NELIOTA (p&lt;0.5)'!J362</f>
        <v>0</v>
      </c>
      <c r="K320" s="98">
        <f>'NELIOTA (p&lt;0.5)'!M362</f>
        <v>3702.3330000000001</v>
      </c>
      <c r="L320" s="93">
        <f t="shared" si="376"/>
        <v>1.0284258333333334</v>
      </c>
      <c r="N320" s="11">
        <v>3</v>
      </c>
      <c r="O320" s="11">
        <v>10</v>
      </c>
      <c r="P320" s="9">
        <f t="shared" si="377"/>
        <v>3.1666666666666665</v>
      </c>
      <c r="Q320" s="9">
        <f t="shared" si="378"/>
        <v>1.976</v>
      </c>
      <c r="R320" s="9">
        <f t="shared" si="379"/>
        <v>1.976</v>
      </c>
      <c r="S320" s="9">
        <f t="shared" si="380"/>
        <v>52.045841767881242</v>
      </c>
      <c r="T320" s="9">
        <f t="shared" si="381"/>
        <v>1.976</v>
      </c>
      <c r="U320" s="9">
        <f t="shared" si="382"/>
        <v>1.0284258333333334</v>
      </c>
      <c r="V320" s="9">
        <f t="shared" si="383"/>
        <v>0.94847999999999999</v>
      </c>
      <c r="W320" s="9">
        <f t="shared" si="384"/>
        <v>0</v>
      </c>
    </row>
    <row r="321" spans="1:27" x14ac:dyDescent="0.25">
      <c r="A321" s="82">
        <f>'NELIOTA (p&lt;0.5)'!A363</f>
        <v>44205</v>
      </c>
      <c r="B321" s="58" t="str">
        <f>'NELIOTA (p&lt;0.5)'!B363</f>
        <v>05:50-07:15</v>
      </c>
      <c r="C321" s="59">
        <f>'NELIOTA (p&lt;0.5)'!C363</f>
        <v>0.20200000000000001</v>
      </c>
      <c r="D321" s="60" t="str">
        <f>'NELIOTA (p&lt;0.5)'!E363</f>
        <v>0</v>
      </c>
      <c r="E321" s="112" t="str">
        <f>'NELIOTA (p&lt;0.5)'!F363</f>
        <v>Cloudiness</v>
      </c>
      <c r="G321" s="8">
        <f>'NELIOTA (p&lt;0.5)'!H363</f>
        <v>0</v>
      </c>
      <c r="H321" s="8">
        <f>'NELIOTA (p&lt;0.5)'!I363</f>
        <v>100</v>
      </c>
      <c r="I321" s="8">
        <f>'NELIOTA (p&lt;0.5)'!J363</f>
        <v>0</v>
      </c>
      <c r="K321" s="98">
        <f>'NELIOTA (p&lt;0.5)'!M363</f>
        <v>0</v>
      </c>
      <c r="L321" s="93">
        <f t="shared" ref="L321" si="385">K321/3600</f>
        <v>0</v>
      </c>
      <c r="N321" s="11">
        <v>1</v>
      </c>
      <c r="O321" s="11">
        <v>25</v>
      </c>
      <c r="P321" s="9">
        <f t="shared" ref="P321" si="386">N321+O321/60</f>
        <v>1.4166666666666667</v>
      </c>
      <c r="Q321" s="9">
        <f t="shared" ref="Q321" si="387">P321*62.4%</f>
        <v>0.88400000000000001</v>
      </c>
      <c r="R321" s="9">
        <f t="shared" ref="R321" si="388">IF(G321=100,L321,Q321)</f>
        <v>0.88400000000000001</v>
      </c>
      <c r="S321" s="9">
        <f t="shared" ref="S321" si="389">100*L321/Q321</f>
        <v>0</v>
      </c>
      <c r="T321" s="9">
        <f t="shared" ref="T321" si="390">R321</f>
        <v>0.88400000000000001</v>
      </c>
      <c r="U321" s="9">
        <f t="shared" ref="U321" si="391">L321</f>
        <v>0</v>
      </c>
      <c r="V321" s="9">
        <f t="shared" ref="V321" si="392">T321*H321%</f>
        <v>0.88400000000000001</v>
      </c>
      <c r="W321" s="9">
        <f t="shared" ref="W321" si="393">T321*I321%</f>
        <v>0</v>
      </c>
      <c r="X321" s="9">
        <f>SUM(U319:U321)</f>
        <v>1.0284258333333334</v>
      </c>
      <c r="Y321" s="9">
        <f>100*X321/SUM(T319:T321)</f>
        <v>19.201378516305702</v>
      </c>
      <c r="Z321" s="9">
        <f>100*SUM(V319:V321)/SUM(T319:T321)</f>
        <v>80.815533980582529</v>
      </c>
      <c r="AA321" s="9">
        <f>100*SUM(W319:W321)/SUM(T319:T321)</f>
        <v>0</v>
      </c>
    </row>
    <row r="322" spans="1:27" x14ac:dyDescent="0.25">
      <c r="A322" s="82"/>
      <c r="B322" s="58"/>
      <c r="C322" s="59"/>
      <c r="D322" s="60"/>
      <c r="E322" s="112"/>
      <c r="G322" s="8"/>
      <c r="H322" s="8"/>
      <c r="I322" s="8"/>
      <c r="K322" s="98"/>
      <c r="L322" s="93"/>
      <c r="N322" s="11"/>
      <c r="O322" s="11"/>
      <c r="P322" s="9"/>
      <c r="Q322" s="9"/>
      <c r="R322" s="9"/>
      <c r="S322" s="9"/>
      <c r="T322" s="9"/>
      <c r="U322" s="9"/>
      <c r="V322" s="9"/>
      <c r="W322" s="9"/>
      <c r="X322" s="9"/>
      <c r="Y322" s="9"/>
      <c r="Z322" s="9"/>
      <c r="AA322" s="9"/>
    </row>
    <row r="323" spans="1:27" s="48" customFormat="1" x14ac:dyDescent="0.25">
      <c r="A323" s="94">
        <f>'NELIOTA (p&lt;0.5)'!A365</f>
        <v>44262</v>
      </c>
      <c r="B323" s="62" t="str">
        <f>'NELIOTA (p&lt;0.5)'!B365</f>
        <v>05:30-06:20</v>
      </c>
      <c r="C323" s="63">
        <f>'NELIOTA (p&lt;0.5)'!C365</f>
        <v>0.38200000000000001</v>
      </c>
      <c r="D323" s="64" t="str">
        <f>'NELIOTA (p&lt;0.5)'!E365</f>
        <v>0</v>
      </c>
      <c r="E323" s="119" t="str">
        <f>'NELIOTA (p&lt;0.5)'!F365</f>
        <v>Cloudiness</v>
      </c>
      <c r="G323" s="24">
        <f>'NELIOTA (p&lt;0.5)'!H365</f>
        <v>0</v>
      </c>
      <c r="H323" s="24">
        <f>'NELIOTA (p&lt;0.5)'!I365</f>
        <v>100</v>
      </c>
      <c r="I323" s="24">
        <f>'NELIOTA (p&lt;0.5)'!J365</f>
        <v>0</v>
      </c>
      <c r="K323" s="101">
        <f>'NELIOTA (p&lt;0.5)'!M365</f>
        <v>0</v>
      </c>
      <c r="L323" s="92">
        <f t="shared" ref="L323:L327" si="394">K323/3600</f>
        <v>0</v>
      </c>
      <c r="N323" s="47">
        <v>0</v>
      </c>
      <c r="O323" s="47">
        <v>50</v>
      </c>
      <c r="P323" s="33">
        <f t="shared" ref="P323:P327" si="395">N323+O323/60</f>
        <v>0.83333333333333337</v>
      </c>
      <c r="Q323" s="33">
        <f t="shared" ref="Q323:Q327" si="396">P323*62.4%</f>
        <v>0.52</v>
      </c>
      <c r="R323" s="33">
        <f t="shared" ref="R323:R327" si="397">IF(G323=100,L323,Q323)</f>
        <v>0.52</v>
      </c>
      <c r="S323" s="33">
        <f t="shared" ref="S323:S327" si="398">100*L323/Q323</f>
        <v>0</v>
      </c>
      <c r="T323" s="33">
        <f t="shared" ref="T323:T327" si="399">R323</f>
        <v>0.52</v>
      </c>
      <c r="U323" s="33">
        <f t="shared" ref="U323:U327" si="400">L323</f>
        <v>0</v>
      </c>
      <c r="V323" s="33">
        <f t="shared" ref="V323:V327" si="401">T323*H323%</f>
        <v>0.52</v>
      </c>
      <c r="W323" s="33">
        <f t="shared" ref="W323:W327" si="402">T323*I323%</f>
        <v>0</v>
      </c>
      <c r="X323" s="33"/>
      <c r="Y323" s="33"/>
      <c r="Z323" s="33"/>
      <c r="AA323" s="33"/>
    </row>
    <row r="324" spans="1:27" x14ac:dyDescent="0.25">
      <c r="A324" s="82">
        <f>'NELIOTA (p&lt;0.5)'!A366</f>
        <v>44271</v>
      </c>
      <c r="B324" s="58" t="str">
        <f>'NELIOTA (p&lt;0.5)'!B366</f>
        <v>19:05-19:45</v>
      </c>
      <c r="C324" s="59">
        <f>'NELIOTA (p&lt;0.5)'!C366</f>
        <v>0.1</v>
      </c>
      <c r="D324" s="60" t="str">
        <f>'NELIOTA (p&lt;0.5)'!E366</f>
        <v>0</v>
      </c>
      <c r="E324" s="112" t="str">
        <f>'NELIOTA (p&lt;0.5)'!F366</f>
        <v>good</v>
      </c>
      <c r="G324" s="8">
        <f>'NELIOTA (p&lt;0.5)'!H366</f>
        <v>100</v>
      </c>
      <c r="H324" s="8">
        <f>'NELIOTA (p&lt;0.5)'!I366</f>
        <v>0</v>
      </c>
      <c r="I324" s="8">
        <f>'NELIOTA (p&lt;0.5)'!J366</f>
        <v>0</v>
      </c>
      <c r="K324" s="98">
        <f>'NELIOTA (p&lt;0.5)'!M366</f>
        <v>1687.56</v>
      </c>
      <c r="L324" s="93">
        <f t="shared" si="394"/>
        <v>0.46876666666666666</v>
      </c>
      <c r="N324" s="11">
        <v>0</v>
      </c>
      <c r="O324" s="11">
        <v>45.075000000000003</v>
      </c>
      <c r="P324" s="9">
        <f t="shared" si="395"/>
        <v>0.75125000000000008</v>
      </c>
      <c r="Q324" s="9">
        <f t="shared" si="396"/>
        <v>0.46878000000000003</v>
      </c>
      <c r="R324" s="9">
        <f t="shared" si="397"/>
        <v>0.46876666666666666</v>
      </c>
      <c r="S324" s="9">
        <f t="shared" si="398"/>
        <v>99.997155737588344</v>
      </c>
      <c r="T324" s="9">
        <f t="shared" si="399"/>
        <v>0.46876666666666666</v>
      </c>
      <c r="U324" s="9">
        <f t="shared" si="400"/>
        <v>0.46876666666666666</v>
      </c>
      <c r="V324" s="9">
        <f t="shared" si="401"/>
        <v>0</v>
      </c>
      <c r="W324" s="9">
        <f t="shared" si="402"/>
        <v>0</v>
      </c>
      <c r="X324" s="9"/>
      <c r="Y324" s="9"/>
      <c r="Z324" s="9"/>
      <c r="AA324" s="9"/>
    </row>
    <row r="325" spans="1:27" x14ac:dyDescent="0.25">
      <c r="A325" s="82">
        <f>'NELIOTA (p&lt;0.5)'!A367</f>
        <v>44272</v>
      </c>
      <c r="B325" s="58" t="str">
        <f>'NELIOTA (p&lt;0.5)'!B367</f>
        <v>19:05-20:40</v>
      </c>
      <c r="C325" s="59">
        <f>'NELIOTA (p&lt;0.5)'!C367</f>
        <v>0.16400000000000001</v>
      </c>
      <c r="D325" s="60" t="str">
        <f>'NELIOTA (p&lt;0.5)'!E367</f>
        <v>2 val + 1 susp</v>
      </c>
      <c r="E325" s="112" t="str">
        <f>'NELIOTA (p&lt;0.5)'!F367</f>
        <v>good</v>
      </c>
      <c r="G325" s="8">
        <f>'NELIOTA (p&lt;0.5)'!H367</f>
        <v>75</v>
      </c>
      <c r="H325" s="8">
        <f>'NELIOTA (p&lt;0.5)'!I367</f>
        <v>25</v>
      </c>
      <c r="I325" s="8">
        <f>'NELIOTA (p&lt;0.5)'!J367</f>
        <v>0</v>
      </c>
      <c r="K325" s="98">
        <f>'NELIOTA (p&lt;0.5)'!M367</f>
        <v>3019.2559999999999</v>
      </c>
      <c r="L325" s="93">
        <f t="shared" si="394"/>
        <v>0.83868222222222222</v>
      </c>
      <c r="N325" s="11">
        <v>1</v>
      </c>
      <c r="O325" s="11">
        <v>47.52</v>
      </c>
      <c r="P325" s="9">
        <f t="shared" si="395"/>
        <v>1.792</v>
      </c>
      <c r="Q325" s="9">
        <f t="shared" si="396"/>
        <v>1.1182080000000001</v>
      </c>
      <c r="R325" s="9">
        <f t="shared" si="397"/>
        <v>1.1182080000000001</v>
      </c>
      <c r="S325" s="9">
        <f t="shared" si="398"/>
        <v>75.002345021876266</v>
      </c>
      <c r="T325" s="9">
        <f t="shared" si="399"/>
        <v>1.1182080000000001</v>
      </c>
      <c r="U325" s="9">
        <f t="shared" si="400"/>
        <v>0.83868222222222222</v>
      </c>
      <c r="V325" s="9">
        <f t="shared" si="401"/>
        <v>0.27955200000000002</v>
      </c>
      <c r="W325" s="9">
        <f t="shared" si="402"/>
        <v>0</v>
      </c>
      <c r="X325" s="9"/>
      <c r="Y325" s="9"/>
      <c r="Z325" s="9"/>
      <c r="AA325" s="9"/>
    </row>
    <row r="326" spans="1:27" x14ac:dyDescent="0.25">
      <c r="A326" s="82">
        <f>'NELIOTA (p&lt;0.5)'!A368</f>
        <v>44273</v>
      </c>
      <c r="B326" s="58" t="str">
        <f>'NELIOTA (p&lt;0.5)'!B368</f>
        <v>19:05-21:35</v>
      </c>
      <c r="C326" s="59">
        <f>'NELIOTA (p&lt;0.5)'!C368</f>
        <v>0.246</v>
      </c>
      <c r="D326" s="60" t="str">
        <f>'NELIOTA (p&lt;0.5)'!E368</f>
        <v>0</v>
      </c>
      <c r="E326" s="112" t="str">
        <f>'NELIOTA (p&lt;0.5)'!F368</f>
        <v>Cloudiness</v>
      </c>
      <c r="G326" s="8">
        <f>'NELIOTA (p&lt;0.5)'!H368</f>
        <v>0</v>
      </c>
      <c r="H326" s="8">
        <f>'NELIOTA (p&lt;0.5)'!I368</f>
        <v>100</v>
      </c>
      <c r="I326" s="8">
        <f>'NELIOTA (p&lt;0.5)'!J368</f>
        <v>0</v>
      </c>
      <c r="K326" s="98">
        <f>'NELIOTA (p&lt;0.5)'!M368</f>
        <v>0</v>
      </c>
      <c r="L326" s="93">
        <f t="shared" si="394"/>
        <v>0</v>
      </c>
      <c r="N326" s="11">
        <v>2</v>
      </c>
      <c r="O326" s="11">
        <v>30</v>
      </c>
      <c r="P326" s="9">
        <f t="shared" si="395"/>
        <v>2.5</v>
      </c>
      <c r="Q326" s="9">
        <f t="shared" si="396"/>
        <v>1.56</v>
      </c>
      <c r="R326" s="9">
        <f t="shared" si="397"/>
        <v>1.56</v>
      </c>
      <c r="S326" s="9">
        <f t="shared" si="398"/>
        <v>0</v>
      </c>
      <c r="T326" s="9">
        <f t="shared" si="399"/>
        <v>1.56</v>
      </c>
      <c r="U326" s="9">
        <f t="shared" si="400"/>
        <v>0</v>
      </c>
      <c r="V326" s="9">
        <f t="shared" si="401"/>
        <v>1.56</v>
      </c>
      <c r="W326" s="9">
        <f t="shared" si="402"/>
        <v>0</v>
      </c>
      <c r="X326" s="9"/>
      <c r="Y326" s="9"/>
      <c r="Z326" s="9"/>
      <c r="AA326" s="9"/>
    </row>
    <row r="327" spans="1:27" x14ac:dyDescent="0.25">
      <c r="A327" s="82">
        <f>'NELIOTA (p&lt;0.5)'!A369</f>
        <v>44274</v>
      </c>
      <c r="B327" s="58" t="str">
        <f>'NELIOTA (p&lt;0.5)'!B369</f>
        <v>19:05-22:30</v>
      </c>
      <c r="C327" s="59">
        <f>'NELIOTA (p&lt;0.5)'!C369</f>
        <v>0.33500000000000002</v>
      </c>
      <c r="D327" s="60" t="str">
        <f>'NELIOTA (p&lt;0.5)'!E369</f>
        <v>0</v>
      </c>
      <c r="E327" s="112" t="str">
        <f>'NELIOTA (p&lt;0.5)'!F369</f>
        <v>Cloudiness</v>
      </c>
      <c r="G327" s="8">
        <f>'NELIOTA (p&lt;0.5)'!H369</f>
        <v>0</v>
      </c>
      <c r="H327" s="8">
        <f>'NELIOTA (p&lt;0.5)'!I369</f>
        <v>100</v>
      </c>
      <c r="I327" s="8">
        <f>'NELIOTA (p&lt;0.5)'!J369</f>
        <v>0</v>
      </c>
      <c r="K327" s="98">
        <f>'NELIOTA (p&lt;0.5)'!M369</f>
        <v>0</v>
      </c>
      <c r="L327" s="93">
        <f t="shared" si="394"/>
        <v>0</v>
      </c>
      <c r="N327" s="11">
        <v>3</v>
      </c>
      <c r="O327" s="11">
        <v>25</v>
      </c>
      <c r="P327" s="9">
        <f t="shared" si="395"/>
        <v>3.4166666666666665</v>
      </c>
      <c r="Q327" s="9">
        <f t="shared" si="396"/>
        <v>2.1320000000000001</v>
      </c>
      <c r="R327" s="9">
        <f t="shared" si="397"/>
        <v>2.1320000000000001</v>
      </c>
      <c r="S327" s="9">
        <f t="shared" si="398"/>
        <v>0</v>
      </c>
      <c r="T327" s="9">
        <f t="shared" si="399"/>
        <v>2.1320000000000001</v>
      </c>
      <c r="U327" s="9">
        <f t="shared" si="400"/>
        <v>0</v>
      </c>
      <c r="V327" s="9">
        <f t="shared" si="401"/>
        <v>2.1320000000000001</v>
      </c>
      <c r="W327" s="9">
        <f t="shared" si="402"/>
        <v>0</v>
      </c>
      <c r="X327" s="9"/>
      <c r="Y327" s="9"/>
      <c r="Z327" s="9"/>
      <c r="AA327" s="9"/>
    </row>
    <row r="328" spans="1:27" x14ac:dyDescent="0.25">
      <c r="A328" s="82">
        <f>'NELIOTA (p&lt;0.5)'!A370</f>
        <v>44275</v>
      </c>
      <c r="B328" s="58" t="str">
        <f>'NELIOTA (p&lt;0.5)'!B370</f>
        <v>19:05-23:30</v>
      </c>
      <c r="C328" s="59">
        <f>'NELIOTA (p&lt;0.5)'!C370</f>
        <v>0.43099999999999999</v>
      </c>
      <c r="D328" s="60" t="str">
        <f>'NELIOTA (p&lt;0.5)'!E370</f>
        <v>0</v>
      </c>
      <c r="E328" s="112" t="str">
        <f>'NELIOTA (p&lt;0.5)'!F370</f>
        <v>Cloudiness</v>
      </c>
      <c r="G328" s="8">
        <f>'NELIOTA (p&lt;0.5)'!H370</f>
        <v>0</v>
      </c>
      <c r="H328" s="8">
        <f>'NELIOTA (p&lt;0.5)'!I370</f>
        <v>100</v>
      </c>
      <c r="I328" s="8">
        <f>'NELIOTA (p&lt;0.5)'!J370</f>
        <v>0</v>
      </c>
      <c r="K328" s="98">
        <f>'NELIOTA (p&lt;0.5)'!M370</f>
        <v>0</v>
      </c>
      <c r="L328" s="93">
        <f t="shared" ref="L328" si="403">K328/3600</f>
        <v>0</v>
      </c>
      <c r="N328" s="11">
        <v>4</v>
      </c>
      <c r="O328" s="11">
        <v>25</v>
      </c>
      <c r="P328" s="9">
        <f t="shared" ref="P328" si="404">N328+O328/60</f>
        <v>4.416666666666667</v>
      </c>
      <c r="Q328" s="9">
        <f t="shared" ref="Q328" si="405">P328*62.4%</f>
        <v>2.7560000000000002</v>
      </c>
      <c r="R328" s="9">
        <f t="shared" ref="R328" si="406">IF(G328=100,L328,Q328)</f>
        <v>2.7560000000000002</v>
      </c>
      <c r="S328" s="9">
        <f t="shared" ref="S328" si="407">100*L328/Q328</f>
        <v>0</v>
      </c>
      <c r="T328" s="9">
        <f t="shared" ref="T328" si="408">R328</f>
        <v>2.7560000000000002</v>
      </c>
      <c r="U328" s="9">
        <f t="shared" ref="U328" si="409">L328</f>
        <v>0</v>
      </c>
      <c r="V328" s="9">
        <f t="shared" ref="V328" si="410">T328*H328%</f>
        <v>2.7560000000000002</v>
      </c>
      <c r="W328" s="9">
        <f t="shared" ref="W328" si="411">T328*I328%</f>
        <v>0</v>
      </c>
      <c r="X328" s="9">
        <f>SUM(U323:U328)</f>
        <v>1.3074488888888889</v>
      </c>
      <c r="Y328" s="9">
        <f>100*X328/SUM(T323:T328)</f>
        <v>15.282907779764578</v>
      </c>
      <c r="Z328" s="9">
        <f>100*SUM(V323:V328)/SUM(T323:T328)</f>
        <v>84.717398734553058</v>
      </c>
      <c r="AA328" s="9">
        <f>100*SUM(W323:W328)/SUM(T323:T328)</f>
        <v>0</v>
      </c>
    </row>
    <row r="329" spans="1:27" s="48" customFormat="1" x14ac:dyDescent="0.25">
      <c r="A329" s="94">
        <f>'NELIOTA (p&lt;0.5)'!A371</f>
        <v>44291</v>
      </c>
      <c r="B329" s="62" t="str">
        <f>'NELIOTA (p&lt;0.5)'!B371</f>
        <v>06:15-06:35</v>
      </c>
      <c r="C329" s="63">
        <f>'NELIOTA (p&lt;0.5)'!C371</f>
        <v>0.42599999999999999</v>
      </c>
      <c r="D329" s="64" t="str">
        <f>'NELIOTA (p&lt;0.5)'!E371</f>
        <v>0</v>
      </c>
      <c r="E329" s="119" t="str">
        <f>'NELIOTA (p&lt;0.5)'!F371</f>
        <v>Cloudiness</v>
      </c>
      <c r="G329" s="24">
        <f>'NELIOTA (p&lt;0.5)'!H371</f>
        <v>0</v>
      </c>
      <c r="H329" s="24">
        <f>'NELIOTA (p&lt;0.5)'!I371</f>
        <v>100</v>
      </c>
      <c r="I329" s="24">
        <f>'NELIOTA (p&lt;0.5)'!J371</f>
        <v>0</v>
      </c>
      <c r="K329" s="101">
        <f>'NELIOTA (p&lt;0.5)'!M371</f>
        <v>0</v>
      </c>
      <c r="L329" s="92">
        <f t="shared" ref="L329:L334" si="412">K329/3600</f>
        <v>0</v>
      </c>
      <c r="N329" s="47">
        <v>0</v>
      </c>
      <c r="O329" s="47">
        <v>20</v>
      </c>
      <c r="P329" s="33">
        <f t="shared" ref="P329:P334" si="413">N329+O329/60</f>
        <v>0.33333333333333331</v>
      </c>
      <c r="Q329" s="33">
        <f t="shared" ref="Q329:Q334" si="414">P329*62.4%</f>
        <v>0.20799999999999999</v>
      </c>
      <c r="R329" s="33">
        <f t="shared" ref="R329:R334" si="415">IF(G329=100,L329,Q329)</f>
        <v>0.20799999999999999</v>
      </c>
      <c r="S329" s="33">
        <f t="shared" ref="S329:S334" si="416">100*L329/Q329</f>
        <v>0</v>
      </c>
      <c r="T329" s="33">
        <f t="shared" ref="T329:T334" si="417">R329</f>
        <v>0.20799999999999999</v>
      </c>
      <c r="U329" s="33">
        <f t="shared" ref="U329:U334" si="418">L329</f>
        <v>0</v>
      </c>
      <c r="V329" s="33">
        <f t="shared" ref="V329:V334" si="419">T329*H329%</f>
        <v>0.20799999999999999</v>
      </c>
      <c r="W329" s="33">
        <f t="shared" ref="W329:W334" si="420">T329*I329%</f>
        <v>0</v>
      </c>
      <c r="X329" s="33"/>
      <c r="Y329" s="33"/>
      <c r="Z329" s="33"/>
      <c r="AA329" s="33"/>
    </row>
    <row r="330" spans="1:27" x14ac:dyDescent="0.25">
      <c r="A330" s="82">
        <f>'NELIOTA (p&lt;0.5)'!A372</f>
        <v>44301</v>
      </c>
      <c r="B330" s="58" t="str">
        <f>'NELIOTA (p&lt;0.5)'!B372</f>
        <v>20:30-21:25</v>
      </c>
      <c r="C330" s="59">
        <f>'NELIOTA (p&lt;0.5)'!C372</f>
        <v>0.113</v>
      </c>
      <c r="D330" s="60" t="str">
        <f>'NELIOTA (p&lt;0.5)'!E372</f>
        <v>0</v>
      </c>
      <c r="E330" s="112" t="str">
        <f>'NELIOTA (p&lt;0.5)'!F372</f>
        <v>Cloudiness</v>
      </c>
      <c r="G330" s="8">
        <f>'NELIOTA (p&lt;0.5)'!H372</f>
        <v>0</v>
      </c>
      <c r="H330" s="8">
        <f>'NELIOTA (p&lt;0.5)'!I372</f>
        <v>100</v>
      </c>
      <c r="I330" s="8">
        <f>'NELIOTA (p&lt;0.5)'!J372</f>
        <v>0</v>
      </c>
      <c r="K330" s="98">
        <f>'NELIOTA (p&lt;0.5)'!M372</f>
        <v>0</v>
      </c>
      <c r="L330" s="93">
        <f t="shared" si="412"/>
        <v>0</v>
      </c>
      <c r="N330" s="11">
        <v>0</v>
      </c>
      <c r="O330" s="11">
        <v>55</v>
      </c>
      <c r="P330" s="9">
        <f t="shared" si="413"/>
        <v>0.91666666666666663</v>
      </c>
      <c r="Q330" s="9">
        <f t="shared" si="414"/>
        <v>0.57199999999999995</v>
      </c>
      <c r="R330" s="9">
        <f t="shared" si="415"/>
        <v>0.57199999999999995</v>
      </c>
      <c r="S330" s="9">
        <f t="shared" si="416"/>
        <v>0</v>
      </c>
      <c r="T330" s="9">
        <f t="shared" si="417"/>
        <v>0.57199999999999995</v>
      </c>
      <c r="U330" s="9">
        <f t="shared" si="418"/>
        <v>0</v>
      </c>
      <c r="V330" s="9">
        <f t="shared" si="419"/>
        <v>0.57199999999999995</v>
      </c>
      <c r="W330" s="9">
        <f t="shared" si="420"/>
        <v>0</v>
      </c>
      <c r="X330" s="9"/>
      <c r="Y330" s="9"/>
      <c r="Z330" s="9"/>
      <c r="AA330" s="9"/>
    </row>
    <row r="331" spans="1:27" x14ac:dyDescent="0.25">
      <c r="A331" s="82">
        <f>'NELIOTA (p&lt;0.5)'!A373</f>
        <v>44302</v>
      </c>
      <c r="B331" s="58" t="str">
        <f>'NELIOTA (p&lt;0.5)'!B373</f>
        <v>20:30-22:20</v>
      </c>
      <c r="C331" s="59">
        <f>'NELIOTA (p&lt;0.5)'!C373</f>
        <v>0.186</v>
      </c>
      <c r="D331" s="60" t="str">
        <f>'NELIOTA (p&lt;0.5)'!E373</f>
        <v>0</v>
      </c>
      <c r="E331" s="112" t="str">
        <f>'NELIOTA (p&lt;0.5)'!F373</f>
        <v>Cloudiness</v>
      </c>
      <c r="G331" s="8">
        <f>'NELIOTA (p&lt;0.5)'!H373</f>
        <v>0</v>
      </c>
      <c r="H331" s="8">
        <f>'NELIOTA (p&lt;0.5)'!I373</f>
        <v>100</v>
      </c>
      <c r="I331" s="8">
        <f>'NELIOTA (p&lt;0.5)'!J373</f>
        <v>0</v>
      </c>
      <c r="K331" s="98">
        <f>'NELIOTA (p&lt;0.5)'!M373</f>
        <v>0</v>
      </c>
      <c r="L331" s="93">
        <f t="shared" si="412"/>
        <v>0</v>
      </c>
      <c r="N331" s="11">
        <v>1</v>
      </c>
      <c r="O331" s="11">
        <v>50</v>
      </c>
      <c r="P331" s="9">
        <f t="shared" si="413"/>
        <v>1.8333333333333335</v>
      </c>
      <c r="Q331" s="9">
        <f t="shared" si="414"/>
        <v>1.1440000000000001</v>
      </c>
      <c r="R331" s="9">
        <f t="shared" si="415"/>
        <v>1.1440000000000001</v>
      </c>
      <c r="S331" s="9">
        <f t="shared" si="416"/>
        <v>0</v>
      </c>
      <c r="T331" s="9">
        <f t="shared" si="417"/>
        <v>1.1440000000000001</v>
      </c>
      <c r="U331" s="9">
        <f t="shared" si="418"/>
        <v>0</v>
      </c>
      <c r="V331" s="9">
        <f t="shared" si="419"/>
        <v>1.1440000000000001</v>
      </c>
      <c r="W331" s="9">
        <f t="shared" si="420"/>
        <v>0</v>
      </c>
      <c r="X331" s="9"/>
      <c r="Y331" s="9"/>
      <c r="Z331" s="9"/>
      <c r="AA331" s="9"/>
    </row>
    <row r="332" spans="1:27" x14ac:dyDescent="0.25">
      <c r="A332" s="82">
        <f>'NELIOTA (p&lt;0.5)'!A374</f>
        <v>44303</v>
      </c>
      <c r="B332" s="58" t="str">
        <f>'NELIOTA (p&lt;0.5)'!B374</f>
        <v>20:30-23:15</v>
      </c>
      <c r="C332" s="59">
        <f>'NELIOTA (p&lt;0.5)'!C374</f>
        <v>0.26900000000000002</v>
      </c>
      <c r="D332" s="60" t="str">
        <f>'NELIOTA (p&lt;0.5)'!E374</f>
        <v>0</v>
      </c>
      <c r="E332" s="112" t="str">
        <f>'NELIOTA (p&lt;0.5)'!F374</f>
        <v>moderate</v>
      </c>
      <c r="G332" s="8">
        <f>'NELIOTA (p&lt;0.5)'!H374</f>
        <v>33</v>
      </c>
      <c r="H332" s="8">
        <f>'NELIOTA (p&lt;0.5)'!I374</f>
        <v>67</v>
      </c>
      <c r="I332" s="8">
        <f>'NELIOTA (p&lt;0.5)'!J374</f>
        <v>0</v>
      </c>
      <c r="K332" s="98">
        <f>'NELIOTA (p&lt;0.5)'!M374</f>
        <v>2338.25</v>
      </c>
      <c r="L332" s="93">
        <f t="shared" si="412"/>
        <v>0.64951388888888884</v>
      </c>
      <c r="N332" s="11">
        <v>3</v>
      </c>
      <c r="O332" s="11">
        <v>9</v>
      </c>
      <c r="P332" s="9">
        <f t="shared" si="413"/>
        <v>3.15</v>
      </c>
      <c r="Q332" s="9">
        <f t="shared" si="414"/>
        <v>1.9656</v>
      </c>
      <c r="R332" s="9">
        <f t="shared" si="415"/>
        <v>1.9656</v>
      </c>
      <c r="S332" s="9">
        <f t="shared" si="416"/>
        <v>33.044052141274364</v>
      </c>
      <c r="T332" s="9">
        <f t="shared" si="417"/>
        <v>1.9656</v>
      </c>
      <c r="U332" s="9">
        <f t="shared" si="418"/>
        <v>0.64951388888888884</v>
      </c>
      <c r="V332" s="9">
        <f t="shared" si="419"/>
        <v>1.3169520000000001</v>
      </c>
      <c r="W332" s="9">
        <f t="shared" si="420"/>
        <v>0</v>
      </c>
      <c r="X332" s="9"/>
      <c r="Y332" s="9"/>
      <c r="Z332" s="9"/>
      <c r="AA332" s="9"/>
    </row>
    <row r="333" spans="1:27" x14ac:dyDescent="0.25">
      <c r="A333" s="82">
        <f>'NELIOTA (p&lt;0.5)'!A375</f>
        <v>44304</v>
      </c>
      <c r="B333" s="58" t="str">
        <f>'NELIOTA (p&lt;0.5)'!B375</f>
        <v>20:30-00:10</v>
      </c>
      <c r="C333" s="59">
        <f>'NELIOTA (p&lt;0.5)'!C375</f>
        <v>0.36199999999999999</v>
      </c>
      <c r="D333" s="60" t="str">
        <f>'NELIOTA (p&lt;0.5)'!E375</f>
        <v>2 val</v>
      </c>
      <c r="E333" s="112" t="str">
        <f>'NELIOTA (p&lt;0.5)'!F375</f>
        <v>good</v>
      </c>
      <c r="G333" s="8">
        <f>'NELIOTA (p&lt;0.5)'!H375</f>
        <v>56</v>
      </c>
      <c r="H333" s="8">
        <f>'NELIOTA (p&lt;0.5)'!I375</f>
        <v>44</v>
      </c>
      <c r="I333" s="8">
        <f>'NELIOTA (p&lt;0.5)'!J375</f>
        <v>0</v>
      </c>
      <c r="K333" s="98">
        <f>'NELIOTA (p&lt;0.5)'!M375</f>
        <v>5430.1850000000004</v>
      </c>
      <c r="L333" s="93">
        <f t="shared" si="412"/>
        <v>1.5083847222222224</v>
      </c>
      <c r="N333" s="11">
        <v>4</v>
      </c>
      <c r="O333" s="11">
        <v>19</v>
      </c>
      <c r="P333" s="9">
        <f t="shared" si="413"/>
        <v>4.3166666666666664</v>
      </c>
      <c r="Q333" s="9">
        <f t="shared" si="414"/>
        <v>2.6936</v>
      </c>
      <c r="R333" s="9">
        <f t="shared" si="415"/>
        <v>2.6936</v>
      </c>
      <c r="S333" s="9">
        <f t="shared" si="416"/>
        <v>55.998838811338814</v>
      </c>
      <c r="T333" s="9">
        <f t="shared" si="417"/>
        <v>2.6936</v>
      </c>
      <c r="U333" s="9">
        <f t="shared" si="418"/>
        <v>1.5083847222222224</v>
      </c>
      <c r="V333" s="9">
        <f t="shared" si="419"/>
        <v>1.185184</v>
      </c>
      <c r="W333" s="9">
        <f t="shared" si="420"/>
        <v>0</v>
      </c>
      <c r="X333" s="9"/>
      <c r="Y333" s="9"/>
      <c r="Z333" s="9"/>
      <c r="AA333" s="9"/>
    </row>
    <row r="334" spans="1:27" x14ac:dyDescent="0.25">
      <c r="A334" s="82">
        <f>'NELIOTA (p&lt;0.5)'!A376</f>
        <v>44305</v>
      </c>
      <c r="B334" s="58" t="str">
        <f>'NELIOTA (p&lt;0.5)'!B376</f>
        <v>20:30-01:00</v>
      </c>
      <c r="C334" s="59">
        <f>'NELIOTA (p&lt;0.5)'!C376</f>
        <v>0.46200000000000002</v>
      </c>
      <c r="D334" s="60" t="str">
        <f>'NELIOTA (p&lt;0.5)'!E376</f>
        <v>0</v>
      </c>
      <c r="E334" s="112" t="str">
        <f>'NELIOTA (p&lt;0.5)'!F376</f>
        <v>moderate - bad</v>
      </c>
      <c r="G334" s="8">
        <f>'NELIOTA (p&lt;0.5)'!H376</f>
        <v>60</v>
      </c>
      <c r="H334" s="8">
        <f>'NELIOTA (p&lt;0.5)'!I376</f>
        <v>40</v>
      </c>
      <c r="I334" s="8">
        <f>'NELIOTA (p&lt;0.5)'!J376</f>
        <v>0</v>
      </c>
      <c r="K334" s="98">
        <f>'NELIOTA (p&lt;0.5)'!M376</f>
        <v>7067.4830000000002</v>
      </c>
      <c r="L334" s="93">
        <f t="shared" si="412"/>
        <v>1.9631897222222223</v>
      </c>
      <c r="N334" s="11">
        <v>5</v>
      </c>
      <c r="O334" s="11">
        <v>14.5</v>
      </c>
      <c r="P334" s="9">
        <f t="shared" si="413"/>
        <v>5.2416666666666663</v>
      </c>
      <c r="Q334" s="9">
        <f t="shared" si="414"/>
        <v>3.2707999999999999</v>
      </c>
      <c r="R334" s="9">
        <f t="shared" si="415"/>
        <v>3.2707999999999999</v>
      </c>
      <c r="S334" s="9">
        <f t="shared" si="416"/>
        <v>60.021698734934034</v>
      </c>
      <c r="T334" s="9">
        <f t="shared" si="417"/>
        <v>3.2707999999999999</v>
      </c>
      <c r="U334" s="9">
        <f t="shared" si="418"/>
        <v>1.9631897222222223</v>
      </c>
      <c r="V334" s="9">
        <f t="shared" si="419"/>
        <v>1.3083200000000001</v>
      </c>
      <c r="W334" s="9">
        <f t="shared" si="420"/>
        <v>0</v>
      </c>
      <c r="X334" s="9">
        <f>SUM(U329:U334)</f>
        <v>4.1210883333333337</v>
      </c>
      <c r="Y334" s="9">
        <f>100*X334/SUM(T329:T334)</f>
        <v>41.821476896015163</v>
      </c>
      <c r="Z334" s="9">
        <f>100*SUM(V329:V334)/SUM(T329:T334)</f>
        <v>58.194195250659639</v>
      </c>
      <c r="AA334" s="9">
        <f>100*SUM(W329:W334)/SUM(T329:T334)</f>
        <v>0</v>
      </c>
    </row>
    <row r="335" spans="1:27" s="48" customFormat="1" x14ac:dyDescent="0.25">
      <c r="A335" s="94">
        <f>'NELIOTA (p&lt;0.5)'!A377</f>
        <v>44331</v>
      </c>
      <c r="B335" s="62" t="str">
        <f>'NELIOTA (p&lt;0.5)'!B377</f>
        <v>21:00-22:05</v>
      </c>
      <c r="C335" s="63">
        <f>'NELIOTA (p&lt;0.5)'!C377</f>
        <v>0.14000000000000001</v>
      </c>
      <c r="D335" s="64" t="str">
        <f>'NELIOTA (p&lt;0.5)'!E377</f>
        <v>1 val</v>
      </c>
      <c r="E335" s="119" t="str">
        <f>'NELIOTA (p&lt;0.5)'!F377</f>
        <v>good</v>
      </c>
      <c r="G335" s="24">
        <f>'NELIOTA (p&lt;0.5)'!H377</f>
        <v>100</v>
      </c>
      <c r="H335" s="24">
        <f>'NELIOTA (p&lt;0.5)'!I377</f>
        <v>0</v>
      </c>
      <c r="I335" s="24">
        <f>'NELIOTA (p&lt;0.5)'!J377</f>
        <v>0</v>
      </c>
      <c r="K335" s="101">
        <f>'NELIOTA (p&lt;0.5)'!M377</f>
        <v>3011.92</v>
      </c>
      <c r="L335" s="92">
        <f t="shared" ref="L335" si="421">K335/3600</f>
        <v>0.83664444444444441</v>
      </c>
      <c r="N335" s="47">
        <v>1</v>
      </c>
      <c r="O335" s="47">
        <v>20.45</v>
      </c>
      <c r="P335" s="33">
        <f t="shared" ref="P335" si="422">N335+O335/60</f>
        <v>1.3408333333333333</v>
      </c>
      <c r="Q335" s="33">
        <f t="shared" ref="Q335" si="423">P335*62.4%</f>
        <v>0.83667999999999998</v>
      </c>
      <c r="R335" s="33">
        <f t="shared" ref="R335" si="424">IF(G335=100,L335,Q335)</f>
        <v>0.83664444444444441</v>
      </c>
      <c r="S335" s="33">
        <f t="shared" ref="S335" si="425">100*L335/Q335</f>
        <v>99.995750399728024</v>
      </c>
      <c r="T335" s="33">
        <f t="shared" ref="T335" si="426">R335</f>
        <v>0.83664444444444441</v>
      </c>
      <c r="U335" s="33">
        <f t="shared" ref="U335" si="427">L335</f>
        <v>0.83664444444444441</v>
      </c>
      <c r="V335" s="33">
        <f t="shared" ref="V335" si="428">T335*H335%</f>
        <v>0</v>
      </c>
      <c r="W335" s="33">
        <f t="shared" ref="W335" si="429">T335*I335%</f>
        <v>0</v>
      </c>
      <c r="X335" s="33"/>
      <c r="Y335" s="33"/>
      <c r="Z335" s="33"/>
      <c r="AA335" s="33"/>
    </row>
    <row r="336" spans="1:27" x14ac:dyDescent="0.25">
      <c r="A336" s="82">
        <f>'NELIOTA (p&lt;0.5)'!A378</f>
        <v>44332</v>
      </c>
      <c r="B336" s="58" t="str">
        <f>'NELIOTA (p&lt;0.5)'!B378</f>
        <v>21:00-22:55</v>
      </c>
      <c r="C336" s="59">
        <f>'NELIOTA (p&lt;0.5)'!C378</f>
        <v>0.217</v>
      </c>
      <c r="D336" s="60" t="str">
        <f>'NELIOTA (p&lt;0.5)'!E378</f>
        <v>0</v>
      </c>
      <c r="E336" s="112" t="str">
        <f>'NELIOTA (p&lt;0.5)'!F378</f>
        <v>Cloudiness</v>
      </c>
      <c r="G336" s="8">
        <f>'NELIOTA (p&lt;0.5)'!H378</f>
        <v>0</v>
      </c>
      <c r="H336" s="8">
        <f>'NELIOTA (p&lt;0.5)'!I378</f>
        <v>100</v>
      </c>
      <c r="I336" s="8">
        <f>'NELIOTA (p&lt;0.5)'!J378</f>
        <v>0</v>
      </c>
      <c r="K336" s="98">
        <f>'NELIOTA (p&lt;0.5)'!M378</f>
        <v>0</v>
      </c>
      <c r="L336" s="93">
        <f t="shared" ref="L336:L338" si="430">K336/3600</f>
        <v>0</v>
      </c>
      <c r="N336" s="11">
        <v>1</v>
      </c>
      <c r="O336" s="11">
        <v>55</v>
      </c>
      <c r="P336" s="9">
        <f t="shared" ref="P336:P338" si="431">N336+O336/60</f>
        <v>1.9166666666666665</v>
      </c>
      <c r="Q336" s="9">
        <f t="shared" ref="Q336:Q338" si="432">P336*62.4%</f>
        <v>1.196</v>
      </c>
      <c r="R336" s="9">
        <f t="shared" ref="R336:R338" si="433">IF(G336=100,L336,Q336)</f>
        <v>1.196</v>
      </c>
      <c r="S336" s="9">
        <f t="shared" ref="S336:S338" si="434">100*L336/Q336</f>
        <v>0</v>
      </c>
      <c r="T336" s="9">
        <f t="shared" ref="T336:T338" si="435">R336</f>
        <v>1.196</v>
      </c>
      <c r="U336" s="9">
        <f t="shared" ref="U336:U338" si="436">L336</f>
        <v>0</v>
      </c>
      <c r="V336" s="9">
        <f t="shared" ref="V336:V338" si="437">T336*H336%</f>
        <v>1.196</v>
      </c>
      <c r="W336" s="9">
        <f t="shared" ref="W336:W338" si="438">T336*I336%</f>
        <v>0</v>
      </c>
      <c r="X336" s="9"/>
      <c r="Y336" s="9"/>
      <c r="Z336" s="9"/>
      <c r="AA336" s="9"/>
    </row>
    <row r="337" spans="1:27" x14ac:dyDescent="0.25">
      <c r="A337" s="82">
        <f>'NELIOTA (p&lt;0.5)'!A379</f>
        <v>44333</v>
      </c>
      <c r="B337" s="58" t="str">
        <f>'NELIOTA (p&lt;0.5)'!B379</f>
        <v>21:00-23:40</v>
      </c>
      <c r="C337" s="59">
        <f>'NELIOTA (p&lt;0.5)'!C379</f>
        <v>0.307</v>
      </c>
      <c r="D337" s="60" t="str">
        <f>'NELIOTA (p&lt;0.5)'!E379</f>
        <v>0</v>
      </c>
      <c r="E337" s="112" t="str">
        <f>'NELIOTA (p&lt;0.5)'!F379</f>
        <v>Cloudiness</v>
      </c>
      <c r="G337" s="8">
        <f>'NELIOTA (p&lt;0.5)'!H379</f>
        <v>0</v>
      </c>
      <c r="H337" s="8">
        <f>'NELIOTA (p&lt;0.5)'!I379</f>
        <v>100</v>
      </c>
      <c r="I337" s="8">
        <f>'NELIOTA (p&lt;0.5)'!J379</f>
        <v>0</v>
      </c>
      <c r="K337" s="98">
        <f>'NELIOTA (p&lt;0.5)'!M379</f>
        <v>0</v>
      </c>
      <c r="L337" s="93">
        <f t="shared" si="430"/>
        <v>0</v>
      </c>
      <c r="N337" s="11">
        <v>2</v>
      </c>
      <c r="O337" s="11">
        <v>40</v>
      </c>
      <c r="P337" s="9">
        <f t="shared" si="431"/>
        <v>2.6666666666666665</v>
      </c>
      <c r="Q337" s="9">
        <f t="shared" si="432"/>
        <v>1.6639999999999999</v>
      </c>
      <c r="R337" s="9">
        <f t="shared" si="433"/>
        <v>1.6639999999999999</v>
      </c>
      <c r="S337" s="9">
        <f t="shared" si="434"/>
        <v>0</v>
      </c>
      <c r="T337" s="9">
        <f t="shared" si="435"/>
        <v>1.6639999999999999</v>
      </c>
      <c r="U337" s="9">
        <f t="shared" si="436"/>
        <v>0</v>
      </c>
      <c r="V337" s="9">
        <f t="shared" si="437"/>
        <v>1.6639999999999999</v>
      </c>
      <c r="W337" s="9">
        <f t="shared" si="438"/>
        <v>0</v>
      </c>
      <c r="X337" s="9"/>
      <c r="Y337" s="9"/>
      <c r="Z337" s="9"/>
      <c r="AA337" s="9"/>
    </row>
    <row r="338" spans="1:27" x14ac:dyDescent="0.25">
      <c r="A338" s="82">
        <f>'NELIOTA (p&lt;0.5)'!A380</f>
        <v>44334</v>
      </c>
      <c r="B338" s="58" t="str">
        <f>'NELIOTA (p&lt;0.5)'!B380</f>
        <v>21:00-00:25</v>
      </c>
      <c r="C338" s="59">
        <f>'NELIOTA (p&lt;0.5)'!C380</f>
        <v>0.40699999999999997</v>
      </c>
      <c r="D338" s="60" t="str">
        <f>'NELIOTA (p&lt;0.5)'!E380</f>
        <v>1 val</v>
      </c>
      <c r="E338" s="112" t="str">
        <f>'NELIOTA (p&lt;0.5)'!F380</f>
        <v>very good</v>
      </c>
      <c r="G338" s="8">
        <f>'NELIOTA (p&lt;0.5)'!H380</f>
        <v>98</v>
      </c>
      <c r="H338" s="8">
        <f>'NELIOTA (p&lt;0.5)'!I380</f>
        <v>2</v>
      </c>
      <c r="I338" s="8">
        <f>'NELIOTA (p&lt;0.5)'!J380</f>
        <v>0</v>
      </c>
      <c r="K338" s="98">
        <f>'NELIOTA (p&lt;0.5)'!M380</f>
        <v>7535.42</v>
      </c>
      <c r="L338" s="93">
        <f t="shared" si="430"/>
        <v>2.0931722222222224</v>
      </c>
      <c r="N338" s="11">
        <v>3</v>
      </c>
      <c r="O338" s="11">
        <v>25</v>
      </c>
      <c r="P338" s="9">
        <f t="shared" si="431"/>
        <v>3.4166666666666665</v>
      </c>
      <c r="Q338" s="9">
        <f t="shared" si="432"/>
        <v>2.1320000000000001</v>
      </c>
      <c r="R338" s="9">
        <f t="shared" si="433"/>
        <v>2.1320000000000001</v>
      </c>
      <c r="S338" s="9">
        <f t="shared" si="434"/>
        <v>98.17880967271212</v>
      </c>
      <c r="T338" s="9">
        <f t="shared" si="435"/>
        <v>2.1320000000000001</v>
      </c>
      <c r="U338" s="9">
        <f t="shared" si="436"/>
        <v>2.0931722222222224</v>
      </c>
      <c r="V338" s="9">
        <f t="shared" si="437"/>
        <v>4.2640000000000004E-2</v>
      </c>
      <c r="W338" s="9">
        <f t="shared" si="438"/>
        <v>0</v>
      </c>
      <c r="X338" s="9">
        <f>SUM(U335:U338)</f>
        <v>2.929816666666667</v>
      </c>
      <c r="Y338" s="9">
        <f>100*X338/SUM(T335:T338)</f>
        <v>50.265832726496349</v>
      </c>
      <c r="Z338" s="9">
        <f>100*SUM(V335:V338)/SUM(T335:T338)</f>
        <v>49.799572227581031</v>
      </c>
      <c r="AA338" s="9">
        <f>100*SUM(W335:W338)/SUM(T335:T338)</f>
        <v>0</v>
      </c>
    </row>
    <row r="339" spans="1:27" s="48" customFormat="1" x14ac:dyDescent="0.25">
      <c r="A339" s="94">
        <f>'NELIOTA (p&lt;0.5)'!A381</f>
        <v>44350</v>
      </c>
      <c r="B339" s="62" t="str">
        <f>'NELIOTA (p&lt;0.5)'!B381</f>
        <v>04:35-05:30</v>
      </c>
      <c r="C339" s="63">
        <f>'NELIOTA (p&lt;0.5)'!C381</f>
        <v>0.42599999999999999</v>
      </c>
      <c r="D339" s="64" t="str">
        <f>'NELIOTA (p&lt;0.5)'!E381</f>
        <v>0</v>
      </c>
      <c r="E339" s="119" t="str">
        <f>'NELIOTA (p&lt;0.5)'!F381</f>
        <v>Cloudiness</v>
      </c>
      <c r="G339" s="24">
        <f>'NELIOTA (p&lt;0.5)'!H381</f>
        <v>0</v>
      </c>
      <c r="H339" s="24">
        <f>'NELIOTA (p&lt;0.5)'!I381</f>
        <v>100</v>
      </c>
      <c r="I339" s="24">
        <f>'NELIOTA (p&lt;0.5)'!J381</f>
        <v>0</v>
      </c>
      <c r="K339" s="101">
        <f>'NELIOTA (p&lt;0.5)'!M381</f>
        <v>0</v>
      </c>
      <c r="L339" s="92">
        <f t="shared" ref="L339:L344" si="439">K339/3600</f>
        <v>0</v>
      </c>
      <c r="N339" s="47">
        <v>0</v>
      </c>
      <c r="O339" s="47">
        <v>55</v>
      </c>
      <c r="P339" s="33">
        <f t="shared" ref="P339:P344" si="440">N339+O339/60</f>
        <v>0.91666666666666663</v>
      </c>
      <c r="Q339" s="33">
        <f t="shared" ref="Q339:Q344" si="441">P339*62.4%</f>
        <v>0.57199999999999995</v>
      </c>
      <c r="R339" s="33">
        <f t="shared" ref="R339:R344" si="442">IF(G339=100,L339,Q339)</f>
        <v>0.57199999999999995</v>
      </c>
      <c r="S339" s="33">
        <f t="shared" ref="S339:S344" si="443">100*L339/Q339</f>
        <v>0</v>
      </c>
      <c r="T339" s="33">
        <f t="shared" ref="T339:T344" si="444">R339</f>
        <v>0.57199999999999995</v>
      </c>
      <c r="U339" s="33">
        <f t="shared" ref="U339:U344" si="445">L339</f>
        <v>0</v>
      </c>
      <c r="V339" s="33">
        <f t="shared" ref="V339:V344" si="446">T339*H339%</f>
        <v>0.57199999999999995</v>
      </c>
      <c r="W339" s="33">
        <f t="shared" ref="W339:W344" si="447">T339*I339%</f>
        <v>0</v>
      </c>
      <c r="X339" s="33"/>
      <c r="Y339" s="33"/>
      <c r="Z339" s="33"/>
      <c r="AA339" s="33"/>
    </row>
    <row r="340" spans="1:27" x14ac:dyDescent="0.25">
      <c r="A340" s="82">
        <f>'NELIOTA (p&lt;0.5)'!A382</f>
        <v>44351</v>
      </c>
      <c r="B340" s="58" t="str">
        <f>'NELIOTA (p&lt;0.5)'!B382</f>
        <v>05:00-05:30</v>
      </c>
      <c r="C340" s="59">
        <f>'NELIOTA (p&lt;0.5)'!C382</f>
        <v>0.32900000000000001</v>
      </c>
      <c r="D340" s="60" t="str">
        <f>'NELIOTA (p&lt;0.5)'!E382</f>
        <v>0</v>
      </c>
      <c r="E340" s="112" t="str">
        <f>'NELIOTA (p&lt;0.5)'!F382</f>
        <v>good</v>
      </c>
      <c r="G340" s="8">
        <f>'NELIOTA (p&lt;0.5)'!H382</f>
        <v>33</v>
      </c>
      <c r="H340" s="8">
        <f>'NELIOTA (p&lt;0.5)'!I382</f>
        <v>67</v>
      </c>
      <c r="I340" s="8">
        <f>'NELIOTA (p&lt;0.5)'!J382</f>
        <v>0</v>
      </c>
      <c r="K340" s="98">
        <f>'NELIOTA (p&lt;0.5)'!M382</f>
        <v>460.59800000000001</v>
      </c>
      <c r="L340" s="93">
        <f t="shared" si="439"/>
        <v>0.12794388888888888</v>
      </c>
      <c r="N340" s="11">
        <v>0</v>
      </c>
      <c r="O340" s="11">
        <v>37.28</v>
      </c>
      <c r="P340" s="9">
        <f t="shared" si="440"/>
        <v>0.6213333333333334</v>
      </c>
      <c r="Q340" s="9">
        <f t="shared" si="441"/>
        <v>0.38771200000000006</v>
      </c>
      <c r="R340" s="9">
        <f t="shared" si="442"/>
        <v>0.38771200000000006</v>
      </c>
      <c r="S340" s="9">
        <f t="shared" si="443"/>
        <v>32.999723735372875</v>
      </c>
      <c r="T340" s="9">
        <f t="shared" si="444"/>
        <v>0.38771200000000006</v>
      </c>
      <c r="U340" s="9">
        <f t="shared" si="445"/>
        <v>0.12794388888888888</v>
      </c>
      <c r="V340" s="9">
        <f t="shared" si="446"/>
        <v>0.25976704000000006</v>
      </c>
      <c r="W340" s="9">
        <f t="shared" si="447"/>
        <v>0</v>
      </c>
      <c r="X340" s="9"/>
      <c r="Y340" s="9"/>
      <c r="Z340" s="9"/>
      <c r="AA340" s="9"/>
    </row>
    <row r="341" spans="1:27" x14ac:dyDescent="0.25">
      <c r="A341" s="82">
        <f>'NELIOTA (p&lt;0.5)'!A383</f>
        <v>44360</v>
      </c>
      <c r="B341" s="58" t="str">
        <f>'NELIOTA (p&lt;0.5)'!B383</f>
        <v>21:20-21:40</v>
      </c>
      <c r="C341" s="59">
        <f>'NELIOTA (p&lt;0.5)'!C383</f>
        <v>0.1</v>
      </c>
      <c r="D341" s="60" t="str">
        <f>'NELIOTA (p&lt;0.5)'!E383</f>
        <v>0</v>
      </c>
      <c r="E341" s="112" t="str">
        <f>'NELIOTA (p&lt;0.5)'!F383</f>
        <v>good</v>
      </c>
      <c r="G341" s="8">
        <f>'NELIOTA (p&lt;0.5)'!H383</f>
        <v>67</v>
      </c>
      <c r="H341" s="8">
        <f>'NELIOTA (p&lt;0.5)'!I383</f>
        <v>33</v>
      </c>
      <c r="I341" s="8">
        <f>'NELIOTA (p&lt;0.5)'!J383</f>
        <v>0</v>
      </c>
      <c r="K341" s="98">
        <f>'NELIOTA (p&lt;0.5)'!M383</f>
        <v>577.59900000000005</v>
      </c>
      <c r="L341" s="93">
        <f t="shared" si="439"/>
        <v>0.16044416666666669</v>
      </c>
      <c r="N341" s="11">
        <v>0</v>
      </c>
      <c r="O341" s="11">
        <v>23.03</v>
      </c>
      <c r="P341" s="9">
        <f t="shared" si="440"/>
        <v>0.38383333333333336</v>
      </c>
      <c r="Q341" s="9">
        <f t="shared" si="441"/>
        <v>0.239512</v>
      </c>
      <c r="R341" s="9">
        <f t="shared" si="442"/>
        <v>0.239512</v>
      </c>
      <c r="S341" s="9">
        <f t="shared" si="443"/>
        <v>66.987944932473823</v>
      </c>
      <c r="T341" s="9">
        <f t="shared" si="444"/>
        <v>0.239512</v>
      </c>
      <c r="U341" s="9">
        <f t="shared" si="445"/>
        <v>0.16044416666666669</v>
      </c>
      <c r="V341" s="9">
        <f t="shared" si="446"/>
        <v>7.9038960000000005E-2</v>
      </c>
      <c r="W341" s="9">
        <f t="shared" si="447"/>
        <v>0</v>
      </c>
      <c r="X341" s="9"/>
      <c r="Y341" s="9"/>
      <c r="Z341" s="9"/>
      <c r="AA341" s="9"/>
    </row>
    <row r="342" spans="1:27" x14ac:dyDescent="0.25">
      <c r="A342" s="82">
        <f>'NELIOTA (p&lt;0.5)'!A384</f>
        <v>44361</v>
      </c>
      <c r="B342" s="58" t="str">
        <f>'NELIOTA (p&lt;0.5)'!B384</f>
        <v>21:20-22:25</v>
      </c>
      <c r="C342" s="59">
        <f>'NELIOTA (p&lt;0.5)'!C384</f>
        <v>0.17399999999999999</v>
      </c>
      <c r="D342" s="60" t="str">
        <f>'NELIOTA (p&lt;0.5)'!E384</f>
        <v>0</v>
      </c>
      <c r="E342" s="112" t="str">
        <f>'NELIOTA (p&lt;0.5)'!F384</f>
        <v>Cloudiness</v>
      </c>
      <c r="G342" s="8">
        <f>'NELIOTA (p&lt;0.5)'!H384</f>
        <v>0</v>
      </c>
      <c r="H342" s="8">
        <f>'NELIOTA (p&lt;0.5)'!I384</f>
        <v>100</v>
      </c>
      <c r="I342" s="8">
        <f>'NELIOTA (p&lt;0.5)'!J384</f>
        <v>0</v>
      </c>
      <c r="K342" s="98">
        <f>'NELIOTA (p&lt;0.5)'!M384</f>
        <v>0</v>
      </c>
      <c r="L342" s="93">
        <f t="shared" si="439"/>
        <v>0</v>
      </c>
      <c r="N342" s="11">
        <v>1</v>
      </c>
      <c r="O342" s="11">
        <v>5</v>
      </c>
      <c r="P342" s="9">
        <f t="shared" si="440"/>
        <v>1.0833333333333333</v>
      </c>
      <c r="Q342" s="9">
        <f t="shared" si="441"/>
        <v>0.67599999999999993</v>
      </c>
      <c r="R342" s="9">
        <f t="shared" si="442"/>
        <v>0.67599999999999993</v>
      </c>
      <c r="S342" s="9">
        <f t="shared" si="443"/>
        <v>0</v>
      </c>
      <c r="T342" s="9">
        <f t="shared" si="444"/>
        <v>0.67599999999999993</v>
      </c>
      <c r="U342" s="9">
        <f t="shared" si="445"/>
        <v>0</v>
      </c>
      <c r="V342" s="9">
        <f t="shared" si="446"/>
        <v>0.67599999999999993</v>
      </c>
      <c r="W342" s="9">
        <f t="shared" si="447"/>
        <v>0</v>
      </c>
      <c r="X342" s="9"/>
      <c r="Y342" s="9"/>
      <c r="Z342" s="9"/>
      <c r="AA342" s="9"/>
    </row>
    <row r="343" spans="1:27" x14ac:dyDescent="0.25">
      <c r="A343" s="82">
        <f>'NELIOTA (p&lt;0.5)'!A385</f>
        <v>44362</v>
      </c>
      <c r="B343" s="58" t="str">
        <f>'NELIOTA (p&lt;0.5)'!B385</f>
        <v>21:20-23:00</v>
      </c>
      <c r="C343" s="59">
        <f>'NELIOTA (p&lt;0.5)'!C385</f>
        <v>0.26</v>
      </c>
      <c r="D343" s="60" t="str">
        <f>'NELIOTA (p&lt;0.5)'!E385</f>
        <v>3 val + 1 susp</v>
      </c>
      <c r="E343" s="112" t="str">
        <f>'NELIOTA (p&lt;0.5)'!F385</f>
        <v>very good</v>
      </c>
      <c r="G343" s="8">
        <f>'NELIOTA (p&lt;0.5)'!H385</f>
        <v>55</v>
      </c>
      <c r="H343" s="8">
        <f>'NELIOTA (p&lt;0.5)'!I385</f>
        <v>45</v>
      </c>
      <c r="I343" s="8">
        <f>'NELIOTA (p&lt;0.5)'!J385</f>
        <v>0</v>
      </c>
      <c r="K343" s="98">
        <f>'NELIOTA (p&lt;0.5)'!M385</f>
        <v>2327.3000000000002</v>
      </c>
      <c r="L343" s="93">
        <f t="shared" si="439"/>
        <v>0.64647222222222223</v>
      </c>
      <c r="N343" s="11">
        <v>1</v>
      </c>
      <c r="O343" s="11">
        <v>53</v>
      </c>
      <c r="P343" s="9">
        <f t="shared" si="440"/>
        <v>1.8833333333333333</v>
      </c>
      <c r="Q343" s="9">
        <f t="shared" si="441"/>
        <v>1.1752</v>
      </c>
      <c r="R343" s="9">
        <f t="shared" si="442"/>
        <v>1.1752</v>
      </c>
      <c r="S343" s="9">
        <f t="shared" si="443"/>
        <v>55.009549202027081</v>
      </c>
      <c r="T343" s="9">
        <f t="shared" si="444"/>
        <v>1.1752</v>
      </c>
      <c r="U343" s="9">
        <f t="shared" si="445"/>
        <v>0.64647222222222223</v>
      </c>
      <c r="V343" s="9">
        <f t="shared" si="446"/>
        <v>0.52883999999999998</v>
      </c>
      <c r="W343" s="9">
        <f t="shared" si="447"/>
        <v>0</v>
      </c>
      <c r="X343" s="9"/>
      <c r="Y343" s="9"/>
      <c r="Z343" s="9"/>
      <c r="AA343" s="9"/>
    </row>
    <row r="344" spans="1:27" x14ac:dyDescent="0.25">
      <c r="A344" s="82">
        <f>'NELIOTA (p&lt;0.5)'!A386</f>
        <v>44363</v>
      </c>
      <c r="B344" s="58" t="str">
        <f>'NELIOTA (p&lt;0.5)'!B386</f>
        <v>21:20-23:35</v>
      </c>
      <c r="C344" s="59">
        <f>'NELIOTA (p&lt;0.5)'!C386</f>
        <v>0.36</v>
      </c>
      <c r="D344" s="60" t="str">
        <f>'NELIOTA (p&lt;0.5)'!E386</f>
        <v>0</v>
      </c>
      <c r="E344" s="112" t="str">
        <f>'NELIOTA (p&lt;0.5)'!F386</f>
        <v>very good</v>
      </c>
      <c r="G344" s="8">
        <f>'NELIOTA (p&lt;0.5)'!H386</f>
        <v>100</v>
      </c>
      <c r="H344" s="8">
        <f>'NELIOTA (p&lt;0.5)'!I386</f>
        <v>0</v>
      </c>
      <c r="I344" s="8">
        <f>'NELIOTA (p&lt;0.5)'!J386</f>
        <v>0</v>
      </c>
      <c r="K344" s="98">
        <f>'NELIOTA (p&lt;0.5)'!M386</f>
        <v>5318.4970000000003</v>
      </c>
      <c r="L344" s="93">
        <f t="shared" si="439"/>
        <v>1.4773602777777779</v>
      </c>
      <c r="N344" s="11">
        <v>2</v>
      </c>
      <c r="O344" s="11">
        <v>22.05</v>
      </c>
      <c r="P344" s="9">
        <f t="shared" si="440"/>
        <v>2.3675000000000002</v>
      </c>
      <c r="Q344" s="9">
        <f t="shared" si="441"/>
        <v>1.4773200000000002</v>
      </c>
      <c r="R344" s="9">
        <f t="shared" si="442"/>
        <v>1.4773602777777779</v>
      </c>
      <c r="S344" s="9">
        <f t="shared" si="443"/>
        <v>100.00272640848142</v>
      </c>
      <c r="T344" s="9">
        <f t="shared" si="444"/>
        <v>1.4773602777777779</v>
      </c>
      <c r="U344" s="9">
        <f t="shared" si="445"/>
        <v>1.4773602777777779</v>
      </c>
      <c r="V344" s="9">
        <f t="shared" si="446"/>
        <v>0</v>
      </c>
      <c r="W344" s="9">
        <f t="shared" si="447"/>
        <v>0</v>
      </c>
      <c r="X344" s="9">
        <f>SUM(U339:U344)</f>
        <v>2.4122205555555558</v>
      </c>
      <c r="Y344" s="9">
        <f>100*X344/SUM(T339:T344)</f>
        <v>53.275960327762476</v>
      </c>
      <c r="Z344" s="9">
        <f>100*SUM(V339:V344)/SUM(T339:T344)</f>
        <v>46.725856847542921</v>
      </c>
      <c r="AA344" s="9">
        <f>100*SUM(W339:W344)/SUM(T339:T344)</f>
        <v>0</v>
      </c>
    </row>
    <row r="345" spans="1:27" s="48" customFormat="1" x14ac:dyDescent="0.25">
      <c r="A345" s="94">
        <f>'NELIOTA (p&lt;0.5)'!A387</f>
        <v>44380</v>
      </c>
      <c r="B345" s="62" t="str">
        <f>'NELIOTA (p&lt;0.5)'!B387</f>
        <v>03:45-05:40</v>
      </c>
      <c r="C345" s="63">
        <f>'NELIOTA (p&lt;0.5)'!C387</f>
        <v>0.39</v>
      </c>
      <c r="D345" s="64" t="str">
        <f>'NELIOTA (p&lt;0.5)'!E387</f>
        <v>1 susp</v>
      </c>
      <c r="E345" s="119" t="str">
        <f>'NELIOTA (p&lt;0.5)'!F387</f>
        <v>good</v>
      </c>
      <c r="G345" s="24">
        <f>'NELIOTA (p&lt;0.5)'!H387</f>
        <v>100</v>
      </c>
      <c r="H345" s="24">
        <f>'NELIOTA (p&lt;0.5)'!I387</f>
        <v>0</v>
      </c>
      <c r="I345" s="24">
        <f>'NELIOTA (p&lt;0.5)'!J387</f>
        <v>0</v>
      </c>
      <c r="K345" s="101">
        <f>'NELIOTA (p&lt;0.5)'!M387</f>
        <v>4852.1000000000004</v>
      </c>
      <c r="L345" s="92">
        <f t="shared" ref="L345:L347" si="448">K345/3600</f>
        <v>1.3478055555555557</v>
      </c>
      <c r="N345" s="47">
        <v>2</v>
      </c>
      <c r="O345" s="47">
        <v>9.6</v>
      </c>
      <c r="P345" s="33">
        <f t="shared" ref="P345:P347" si="449">N345+O345/60</f>
        <v>2.16</v>
      </c>
      <c r="Q345" s="33">
        <f t="shared" ref="Q345:Q347" si="450">P345*62.4%</f>
        <v>1.3478400000000001</v>
      </c>
      <c r="R345" s="33">
        <f t="shared" ref="R345:R347" si="451">IF(G345=100,L345,Q345)</f>
        <v>1.3478055555555557</v>
      </c>
      <c r="S345" s="33">
        <f t="shared" ref="S345:S347" si="452">100*L345/Q345</f>
        <v>99.997444470824092</v>
      </c>
      <c r="T345" s="33">
        <f t="shared" ref="T345:T347" si="453">R345</f>
        <v>1.3478055555555557</v>
      </c>
      <c r="U345" s="33">
        <f t="shared" ref="U345:U347" si="454">L345</f>
        <v>1.3478055555555557</v>
      </c>
      <c r="V345" s="33">
        <f t="shared" ref="V345:V347" si="455">T345*H345%</f>
        <v>0</v>
      </c>
      <c r="W345" s="33">
        <f t="shared" ref="W345:W347" si="456">T345*I345%</f>
        <v>0</v>
      </c>
      <c r="X345" s="33"/>
      <c r="Y345" s="33"/>
      <c r="Z345" s="33"/>
      <c r="AA345" s="33"/>
    </row>
    <row r="346" spans="1:27" x14ac:dyDescent="0.25">
      <c r="A346" s="82">
        <f>'NELIOTA (p&lt;0.5)'!A388</f>
        <v>44381</v>
      </c>
      <c r="B346" s="58" t="str">
        <f>'NELIOTA (p&lt;0.5)'!B388</f>
        <v>04:10-05:40</v>
      </c>
      <c r="C346" s="59">
        <f>'NELIOTA (p&lt;0.5)'!C388</f>
        <v>0.29799999999999999</v>
      </c>
      <c r="D346" s="60">
        <f>'NELIOTA (p&lt;0.5)'!E388</f>
        <v>0</v>
      </c>
      <c r="E346" s="112" t="str">
        <f>'NELIOTA (p&lt;0.5)'!F388</f>
        <v>Very good</v>
      </c>
      <c r="G346" s="8">
        <f>'NELIOTA (p&lt;0.5)'!H388</f>
        <v>100</v>
      </c>
      <c r="H346" s="8">
        <f>'NELIOTA (p&lt;0.5)'!I388</f>
        <v>0</v>
      </c>
      <c r="I346" s="8">
        <f>'NELIOTA (p&lt;0.5)'!J388</f>
        <v>0</v>
      </c>
      <c r="K346" s="98">
        <f>'NELIOTA (p&lt;0.5)'!M388</f>
        <v>3843.81</v>
      </c>
      <c r="L346" s="93">
        <f t="shared" si="448"/>
        <v>1.067725</v>
      </c>
      <c r="N346" s="11">
        <v>1</v>
      </c>
      <c r="O346" s="11">
        <v>42.67</v>
      </c>
      <c r="P346" s="9">
        <f t="shared" si="449"/>
        <v>1.7111666666666667</v>
      </c>
      <c r="Q346" s="9">
        <f t="shared" si="450"/>
        <v>1.0677680000000001</v>
      </c>
      <c r="R346" s="9">
        <f t="shared" si="451"/>
        <v>1.067725</v>
      </c>
      <c r="S346" s="9">
        <f t="shared" si="452"/>
        <v>99.995972907972515</v>
      </c>
      <c r="T346" s="9">
        <f t="shared" si="453"/>
        <v>1.067725</v>
      </c>
      <c r="U346" s="9">
        <f t="shared" si="454"/>
        <v>1.067725</v>
      </c>
      <c r="V346" s="9">
        <f t="shared" si="455"/>
        <v>0</v>
      </c>
      <c r="W346" s="9">
        <f t="shared" si="456"/>
        <v>0</v>
      </c>
      <c r="X346" s="9"/>
      <c r="Y346" s="9"/>
      <c r="Z346" s="9"/>
      <c r="AA346" s="9"/>
    </row>
    <row r="347" spans="1:27" x14ac:dyDescent="0.25">
      <c r="A347" s="82">
        <f>'NELIOTA (p&lt;0.5)'!A389</f>
        <v>44382</v>
      </c>
      <c r="B347" s="58" t="str">
        <f>'NELIOTA (p&lt;0.5)'!B389</f>
        <v>04:40-05:40</v>
      </c>
      <c r="C347" s="59">
        <f>'NELIOTA (p&lt;0.5)'!C389</f>
        <v>0.214</v>
      </c>
      <c r="D347" s="60" t="str">
        <f>'NELIOTA (p&lt;0.5)'!E389</f>
        <v>1 susp</v>
      </c>
      <c r="E347" s="112" t="str">
        <f>'NELIOTA (p&lt;0.5)'!F389</f>
        <v>Very good</v>
      </c>
      <c r="G347" s="8">
        <f>'NELIOTA (p&lt;0.5)'!H389</f>
        <v>100</v>
      </c>
      <c r="H347" s="8">
        <f>'NELIOTA (p&lt;0.5)'!I389</f>
        <v>0</v>
      </c>
      <c r="I347" s="8">
        <f>'NELIOTA (p&lt;0.5)'!J389</f>
        <v>0</v>
      </c>
      <c r="K347" s="98">
        <f>'NELIOTA (p&lt;0.5)'!M389</f>
        <v>2423</v>
      </c>
      <c r="L347" s="93">
        <f t="shared" si="448"/>
        <v>0.67305555555555552</v>
      </c>
      <c r="N347" s="11">
        <v>1</v>
      </c>
      <c r="O347" s="11">
        <v>4.72</v>
      </c>
      <c r="P347" s="9">
        <f t="shared" si="449"/>
        <v>1.0786666666666667</v>
      </c>
      <c r="Q347" s="9">
        <f t="shared" si="450"/>
        <v>0.67308800000000002</v>
      </c>
      <c r="R347" s="9">
        <f t="shared" si="451"/>
        <v>0.67305555555555552</v>
      </c>
      <c r="S347" s="9">
        <f t="shared" si="452"/>
        <v>99.995179761867035</v>
      </c>
      <c r="T347" s="9">
        <f t="shared" si="453"/>
        <v>0.67305555555555552</v>
      </c>
      <c r="U347" s="9">
        <f t="shared" si="454"/>
        <v>0.67305555555555552</v>
      </c>
      <c r="V347" s="9">
        <f t="shared" si="455"/>
        <v>0</v>
      </c>
      <c r="W347" s="9">
        <f t="shared" si="456"/>
        <v>0</v>
      </c>
    </row>
    <row r="348" spans="1:27" x14ac:dyDescent="0.25">
      <c r="A348" s="82">
        <f>'NELIOTA (p&lt;0.5)'!A390</f>
        <v>44383</v>
      </c>
      <c r="B348" s="58" t="str">
        <f>'NELIOTA (p&lt;0.5)'!B390</f>
        <v>05:10-05:40</v>
      </c>
      <c r="C348" s="59">
        <f>'NELIOTA (p&lt;0.5)'!C390</f>
        <v>0.14000000000000001</v>
      </c>
      <c r="D348" s="60" t="str">
        <f>'NELIOTA (p&lt;0.5)'!E390</f>
        <v>1 val</v>
      </c>
      <c r="E348" s="112" t="str">
        <f>'NELIOTA (p&lt;0.5)'!F390</f>
        <v>Very good</v>
      </c>
      <c r="G348" s="8">
        <f>'NELIOTA (p&lt;0.5)'!H390</f>
        <v>44</v>
      </c>
      <c r="H348" s="8">
        <f>'NELIOTA (p&lt;0.5)'!I390</f>
        <v>56</v>
      </c>
      <c r="I348" s="8">
        <f>'NELIOTA (p&lt;0.5)'!J390</f>
        <v>0</v>
      </c>
      <c r="K348" s="98">
        <f>'NELIOTA (p&lt;0.5)'!M390</f>
        <v>561.9</v>
      </c>
      <c r="L348" s="93">
        <f t="shared" ref="L348:L351" si="457">K348/3600</f>
        <v>0.15608333333333332</v>
      </c>
      <c r="N348" s="11">
        <v>0</v>
      </c>
      <c r="O348" s="11">
        <v>26.8</v>
      </c>
      <c r="P348" s="9">
        <f t="shared" ref="P348:P351" si="458">N348+O348/60</f>
        <v>0.44666666666666666</v>
      </c>
      <c r="Q348" s="9">
        <f t="shared" ref="Q348:Q351" si="459">P348*62.4%</f>
        <v>0.27871999999999997</v>
      </c>
      <c r="R348" s="9">
        <f t="shared" ref="R348:R351" si="460">IF(G348=100,L348,Q348)</f>
        <v>0.27871999999999997</v>
      </c>
      <c r="S348" s="9">
        <f t="shared" ref="S348:S351" si="461">100*L348/Q348</f>
        <v>56.000047837734407</v>
      </c>
      <c r="T348" s="9">
        <f t="shared" ref="T348:T351" si="462">R348</f>
        <v>0.27871999999999997</v>
      </c>
      <c r="U348" s="9">
        <f t="shared" ref="U348:U351" si="463">L348</f>
        <v>0.15608333333333332</v>
      </c>
      <c r="V348" s="9">
        <f t="shared" ref="V348:V351" si="464">T348*H348%</f>
        <v>0.15608320000000001</v>
      </c>
      <c r="W348" s="9">
        <f t="shared" ref="W348:W351" si="465">T348*I348%</f>
        <v>0</v>
      </c>
    </row>
    <row r="349" spans="1:27" x14ac:dyDescent="0.25">
      <c r="A349" s="82">
        <f>'NELIOTA (p&lt;0.5)'!A391</f>
        <v>44391</v>
      </c>
      <c r="B349" s="58" t="str">
        <f>'NELIOTA (p&lt;0.5)'!B391</f>
        <v>21:20-22:10</v>
      </c>
      <c r="C349" s="59">
        <f>'NELIOTA (p&lt;0.5)'!C391</f>
        <v>0.22500000000000001</v>
      </c>
      <c r="D349" s="60" t="str">
        <f>'NELIOTA (p&lt;0.5)'!E391</f>
        <v>0</v>
      </c>
      <c r="E349" s="112" t="str">
        <f>'NELIOTA (p&lt;0.5)'!F391</f>
        <v>good</v>
      </c>
      <c r="G349" s="8">
        <f>'NELIOTA (p&lt;0.5)'!H391</f>
        <v>100</v>
      </c>
      <c r="H349" s="8">
        <f>'NELIOTA (p&lt;0.5)'!I391</f>
        <v>0</v>
      </c>
      <c r="I349" s="8">
        <f>'NELIOTA (p&lt;0.5)'!J391</f>
        <v>0</v>
      </c>
      <c r="K349" s="98">
        <f>'NELIOTA (p&lt;0.5)'!M391</f>
        <v>2009.6</v>
      </c>
      <c r="L349" s="93">
        <f t="shared" si="457"/>
        <v>0.55822222222222218</v>
      </c>
      <c r="N349" s="11">
        <v>0</v>
      </c>
      <c r="O349" s="11">
        <v>53.68</v>
      </c>
      <c r="P349" s="9">
        <f t="shared" si="458"/>
        <v>0.89466666666666661</v>
      </c>
      <c r="Q349" s="9">
        <f t="shared" si="459"/>
        <v>0.55827199999999999</v>
      </c>
      <c r="R349" s="9">
        <f t="shared" si="460"/>
        <v>0.55822222222222218</v>
      </c>
      <c r="S349" s="9">
        <f t="shared" si="461"/>
        <v>99.991083597640966</v>
      </c>
      <c r="T349" s="9">
        <f t="shared" si="462"/>
        <v>0.55822222222222218</v>
      </c>
      <c r="U349" s="9">
        <f t="shared" si="463"/>
        <v>0.55822222222222218</v>
      </c>
      <c r="V349" s="9">
        <f t="shared" si="464"/>
        <v>0</v>
      </c>
      <c r="W349" s="9">
        <f t="shared" si="465"/>
        <v>0</v>
      </c>
    </row>
    <row r="350" spans="1:27" x14ac:dyDescent="0.25">
      <c r="A350" s="82">
        <f>'NELIOTA (p&lt;0.5)'!A392</f>
        <v>44392</v>
      </c>
      <c r="B350" s="58" t="str">
        <f>'NELIOTA (p&lt;0.5)'!B392</f>
        <v>21:20-22:35</v>
      </c>
      <c r="C350" s="59">
        <f>'NELIOTA (p&lt;0.5)'!C392</f>
        <v>0.32400000000000001</v>
      </c>
      <c r="D350" s="60" t="str">
        <f>'NELIOTA (p&lt;0.5)'!E392</f>
        <v>1 val</v>
      </c>
      <c r="E350" s="112" t="str">
        <f>'NELIOTA (p&lt;0.5)'!F392</f>
        <v>very good</v>
      </c>
      <c r="G350" s="8">
        <f>'NELIOTA (p&lt;0.5)'!H392</f>
        <v>100</v>
      </c>
      <c r="H350" s="8">
        <f>'NELIOTA (p&lt;0.5)'!I392</f>
        <v>0</v>
      </c>
      <c r="I350" s="8">
        <f>'NELIOTA (p&lt;0.5)'!J392</f>
        <v>0</v>
      </c>
      <c r="K350" s="98">
        <f>'NELIOTA (p&lt;0.5)'!M392</f>
        <v>3215.12</v>
      </c>
      <c r="L350" s="93">
        <f t="shared" si="457"/>
        <v>0.89308888888888882</v>
      </c>
      <c r="N350" s="11">
        <v>1</v>
      </c>
      <c r="O350" s="11">
        <v>25.88</v>
      </c>
      <c r="P350" s="9">
        <f t="shared" si="458"/>
        <v>1.4313333333333333</v>
      </c>
      <c r="Q350" s="9">
        <f t="shared" si="459"/>
        <v>0.89315200000000006</v>
      </c>
      <c r="R350" s="9">
        <f t="shared" si="460"/>
        <v>0.89308888888888882</v>
      </c>
      <c r="S350" s="9">
        <f t="shared" si="461"/>
        <v>99.992933889068027</v>
      </c>
      <c r="T350" s="9">
        <f t="shared" si="462"/>
        <v>0.89308888888888882</v>
      </c>
      <c r="U350" s="9">
        <f t="shared" si="463"/>
        <v>0.89308888888888882</v>
      </c>
      <c r="V350" s="9">
        <f t="shared" si="464"/>
        <v>0</v>
      </c>
      <c r="W350" s="9">
        <f t="shared" si="465"/>
        <v>0</v>
      </c>
    </row>
    <row r="351" spans="1:27" x14ac:dyDescent="0.25">
      <c r="A351" s="82">
        <f>'NELIOTA (p&lt;0.5)'!A393</f>
        <v>44393</v>
      </c>
      <c r="B351" s="58" t="str">
        <f>'NELIOTA (p&lt;0.5)'!B393</f>
        <v>21:20-23:00</v>
      </c>
      <c r="C351" s="59">
        <f>'NELIOTA (p&lt;0.5)'!C393</f>
        <v>0.434</v>
      </c>
      <c r="D351" s="60" t="str">
        <f>'NELIOTA (p&lt;0.5)'!E393</f>
        <v>1 val</v>
      </c>
      <c r="E351" s="112" t="str">
        <f>'NELIOTA (p&lt;0.5)'!F393</f>
        <v>very good</v>
      </c>
      <c r="G351" s="8">
        <f>'NELIOTA (p&lt;0.5)'!H393</f>
        <v>100</v>
      </c>
      <c r="H351" s="8">
        <f>'NELIOTA (p&lt;0.5)'!I393</f>
        <v>0</v>
      </c>
      <c r="I351" s="8">
        <f>'NELIOTA (p&lt;0.5)'!J393</f>
        <v>0</v>
      </c>
      <c r="K351" s="98">
        <f>'NELIOTA (p&lt;0.5)'!M393</f>
        <v>4068.125</v>
      </c>
      <c r="L351" s="93">
        <f t="shared" si="457"/>
        <v>1.1300347222222222</v>
      </c>
      <c r="N351" s="11">
        <v>1</v>
      </c>
      <c r="O351" s="11">
        <v>48.66</v>
      </c>
      <c r="P351" s="9">
        <f t="shared" si="458"/>
        <v>1.8109999999999999</v>
      </c>
      <c r="Q351" s="9">
        <f t="shared" si="459"/>
        <v>1.130064</v>
      </c>
      <c r="R351" s="9">
        <f t="shared" si="460"/>
        <v>1.1300347222222222</v>
      </c>
      <c r="S351" s="9">
        <f t="shared" si="461"/>
        <v>99.997409192950343</v>
      </c>
      <c r="T351" s="9">
        <f t="shared" si="462"/>
        <v>1.1300347222222222</v>
      </c>
      <c r="U351" s="9">
        <f t="shared" si="463"/>
        <v>1.1300347222222222</v>
      </c>
      <c r="V351" s="9">
        <f t="shared" si="464"/>
        <v>0</v>
      </c>
      <c r="W351" s="9">
        <f t="shared" si="465"/>
        <v>0</v>
      </c>
      <c r="X351" s="9">
        <f>SUM(U345:U351)</f>
        <v>5.8260152777777776</v>
      </c>
      <c r="Y351" s="9">
        <f>100*X351/SUM(T345:T351)</f>
        <v>97.938412470388357</v>
      </c>
      <c r="Z351" s="9">
        <f>100*SUM(V345:V351)/SUM(T345:T351)</f>
        <v>2.6238415267474</v>
      </c>
      <c r="AA351" s="9">
        <f>100*SUM(W345:W351)/SUM(T345:T351)</f>
        <v>0</v>
      </c>
    </row>
    <row r="352" spans="1:27" s="48" customFormat="1" x14ac:dyDescent="0.25">
      <c r="A352" s="94">
        <f>'NELIOTA (p&lt;0.5)'!A394</f>
        <v>44410</v>
      </c>
      <c r="B352" s="62" t="str">
        <f>'NELIOTA (p&lt;0.5)'!B394</f>
        <v>03:15-06:10</v>
      </c>
      <c r="C352" s="63">
        <f>'NELIOTA (p&lt;0.5)'!C394</f>
        <v>0.36499999999999999</v>
      </c>
      <c r="D352" s="64" t="str">
        <f>'NELIOTA (p&lt;0.5)'!E394</f>
        <v>4 val +1 susp</v>
      </c>
      <c r="E352" s="119" t="str">
        <f>'NELIOTA (p&lt;0.5)'!F394</f>
        <v>Very good</v>
      </c>
      <c r="G352" s="24">
        <f>'NELIOTA (p&lt;0.5)'!H394</f>
        <v>100</v>
      </c>
      <c r="H352" s="24">
        <f>'NELIOTA (p&lt;0.5)'!I394</f>
        <v>0</v>
      </c>
      <c r="I352" s="24">
        <f>'NELIOTA (p&lt;0.5)'!J394</f>
        <v>0</v>
      </c>
      <c r="K352" s="101">
        <f>'NELIOTA (p&lt;0.5)'!M394</f>
        <v>6414.38</v>
      </c>
      <c r="L352" s="92">
        <f t="shared" ref="L352:L353" si="466">K352/3600</f>
        <v>1.7817722222222223</v>
      </c>
      <c r="N352" s="47">
        <v>2</v>
      </c>
      <c r="O352" s="47">
        <v>51.33</v>
      </c>
      <c r="P352" s="33">
        <f t="shared" ref="P352:P353" si="467">N352+O352/60</f>
        <v>2.8555000000000001</v>
      </c>
      <c r="Q352" s="33">
        <f t="shared" ref="Q352:Q353" si="468">P352*62.4%</f>
        <v>1.7818320000000001</v>
      </c>
      <c r="R352" s="33">
        <f t="shared" ref="R352:R353" si="469">IF(G352=100,L352,Q352)</f>
        <v>1.7817722222222223</v>
      </c>
      <c r="S352" s="33">
        <f t="shared" ref="S352:S353" si="470">100*L352/Q352</f>
        <v>99.996645150733755</v>
      </c>
      <c r="T352" s="33">
        <f t="shared" ref="T352:T353" si="471">R352</f>
        <v>1.7817722222222223</v>
      </c>
      <c r="U352" s="33">
        <f t="shared" ref="U352:U353" si="472">L352</f>
        <v>1.7817722222222223</v>
      </c>
      <c r="V352" s="33">
        <f t="shared" ref="V352:V353" si="473">T352*H352%</f>
        <v>0</v>
      </c>
      <c r="W352" s="33">
        <f t="shared" ref="W352:W353" si="474">T352*I352%</f>
        <v>0</v>
      </c>
      <c r="X352" s="33"/>
      <c r="Y352" s="33"/>
      <c r="Z352" s="33"/>
      <c r="AA352" s="33"/>
    </row>
    <row r="353" spans="1:27" x14ac:dyDescent="0.25">
      <c r="A353" s="82">
        <f>'NELIOTA (p&lt;0.5)'!A395</f>
        <v>44411</v>
      </c>
      <c r="B353" s="58" t="str">
        <f>'NELIOTA (p&lt;0.5)'!B395</f>
        <v>03:45-06:10</v>
      </c>
      <c r="C353" s="59">
        <f>'NELIOTA (p&lt;0.5)'!C395</f>
        <v>0.27400000000000002</v>
      </c>
      <c r="D353" s="60" t="str">
        <f>'NELIOTA (p&lt;0.5)'!E395</f>
        <v>0</v>
      </c>
      <c r="E353" s="112" t="str">
        <f>'NELIOTA (p&lt;0.5)'!F395</f>
        <v>good</v>
      </c>
      <c r="G353" s="8">
        <f>'NELIOTA (p&lt;0.5)'!H395</f>
        <v>10</v>
      </c>
      <c r="H353" s="8">
        <f>'NELIOTA (p&lt;0.5)'!I395</f>
        <v>0</v>
      </c>
      <c r="I353" s="8">
        <f>'NELIOTA (p&lt;0.5)'!J395</f>
        <v>90</v>
      </c>
      <c r="K353" s="98">
        <f>'NELIOTA (p&lt;0.5)'!M395</f>
        <v>650.9</v>
      </c>
      <c r="L353" s="93">
        <f t="shared" si="466"/>
        <v>0.18080555555555555</v>
      </c>
      <c r="N353" s="11">
        <v>1</v>
      </c>
      <c r="O353" s="11">
        <v>48.66</v>
      </c>
      <c r="P353" s="9">
        <f t="shared" si="467"/>
        <v>1.8109999999999999</v>
      </c>
      <c r="Q353" s="9">
        <f t="shared" si="468"/>
        <v>1.130064</v>
      </c>
      <c r="R353" s="9">
        <f t="shared" si="469"/>
        <v>1.130064</v>
      </c>
      <c r="S353" s="9">
        <f t="shared" si="470"/>
        <v>15.999585470872054</v>
      </c>
      <c r="T353" s="9">
        <f t="shared" si="471"/>
        <v>1.130064</v>
      </c>
      <c r="U353" s="9">
        <f t="shared" si="472"/>
        <v>0.18080555555555555</v>
      </c>
      <c r="V353" s="9">
        <f t="shared" si="473"/>
        <v>0</v>
      </c>
      <c r="W353" s="9">
        <f t="shared" si="474"/>
        <v>1.0170576</v>
      </c>
      <c r="X353" s="9"/>
      <c r="Y353" s="9"/>
      <c r="Z353" s="9"/>
      <c r="AA353" s="9"/>
    </row>
    <row r="354" spans="1:27" x14ac:dyDescent="0.25">
      <c r="A354" s="82">
        <f>'NELIOTA (p&lt;0.5)'!A396</f>
        <v>44412</v>
      </c>
      <c r="B354" s="58" t="str">
        <f>'NELIOTA (p&lt;0.5)'!B396</f>
        <v>04:25-06:10</v>
      </c>
      <c r="C354" s="59">
        <f>'NELIOTA (p&lt;0.5)'!C396</f>
        <v>0.191</v>
      </c>
      <c r="D354" s="60" t="str">
        <f>'NELIOTA (p&lt;0.5)'!E396</f>
        <v>0</v>
      </c>
      <c r="E354" s="112" t="str">
        <f>'NELIOTA (p&lt;0.5)'!F396</f>
        <v>good</v>
      </c>
      <c r="G354" s="8">
        <f>'NELIOTA (p&lt;0.5)'!H396</f>
        <v>0</v>
      </c>
      <c r="H354" s="8">
        <f>'NELIOTA (p&lt;0.5)'!I396</f>
        <v>0</v>
      </c>
      <c r="I354" s="8">
        <f>'NELIOTA (p&lt;0.5)'!J396</f>
        <v>100</v>
      </c>
      <c r="K354" s="98">
        <f>'NELIOTA (p&lt;0.5)'!M396</f>
        <v>0</v>
      </c>
      <c r="L354" s="93">
        <f t="shared" ref="L354:L357" si="475">K354/3600</f>
        <v>0</v>
      </c>
      <c r="N354" s="11">
        <v>1</v>
      </c>
      <c r="O354" s="11">
        <v>45</v>
      </c>
      <c r="P354" s="9">
        <f t="shared" ref="P354:P357" si="476">N354+O354/60</f>
        <v>1.75</v>
      </c>
      <c r="Q354" s="9">
        <f t="shared" ref="Q354:Q357" si="477">P354*62.4%</f>
        <v>1.0920000000000001</v>
      </c>
      <c r="R354" s="9">
        <f t="shared" ref="R354:R357" si="478">IF(G354=100,L354,Q354)</f>
        <v>1.0920000000000001</v>
      </c>
      <c r="S354" s="9">
        <f t="shared" ref="S354:S357" si="479">100*L354/Q354</f>
        <v>0</v>
      </c>
      <c r="T354" s="9">
        <f t="shared" ref="T354:T357" si="480">R354</f>
        <v>1.0920000000000001</v>
      </c>
      <c r="U354" s="9">
        <f t="shared" ref="U354:U357" si="481">L354</f>
        <v>0</v>
      </c>
      <c r="V354" s="9">
        <f t="shared" ref="V354:V357" si="482">T354*H354%</f>
        <v>0</v>
      </c>
      <c r="W354" s="9">
        <f t="shared" ref="W354:W357" si="483">T354*I354%</f>
        <v>1.0920000000000001</v>
      </c>
      <c r="X354" s="9"/>
      <c r="Y354" s="9"/>
      <c r="Z354" s="9"/>
      <c r="AA354" s="9"/>
    </row>
    <row r="355" spans="1:27" x14ac:dyDescent="0.25">
      <c r="A355" s="82">
        <f>'NELIOTA (p&lt;0.5)'!A397</f>
        <v>44413</v>
      </c>
      <c r="B355" s="58" t="str">
        <f>'NELIOTA (p&lt;0.5)'!B397</f>
        <v>05:15-06:10</v>
      </c>
      <c r="C355" s="59">
        <f>'NELIOTA (p&lt;0.5)'!C397</f>
        <v>0.11899999999999999</v>
      </c>
      <c r="D355" s="60" t="str">
        <f>'NELIOTA (p&lt;0.5)'!E397</f>
        <v>0</v>
      </c>
      <c r="E355" s="112" t="str">
        <f>'NELIOTA (p&lt;0.5)'!F397</f>
        <v>good</v>
      </c>
      <c r="G355" s="8">
        <f>'NELIOTA (p&lt;0.5)'!H397</f>
        <v>0</v>
      </c>
      <c r="H355" s="8">
        <f>'NELIOTA (p&lt;0.5)'!I397</f>
        <v>0</v>
      </c>
      <c r="I355" s="8">
        <f>'NELIOTA (p&lt;0.5)'!J397</f>
        <v>100</v>
      </c>
      <c r="K355" s="98">
        <f>'NELIOTA (p&lt;0.5)'!M397</f>
        <v>0</v>
      </c>
      <c r="L355" s="93">
        <f t="shared" si="475"/>
        <v>0</v>
      </c>
      <c r="N355" s="11">
        <v>0</v>
      </c>
      <c r="O355" s="11">
        <v>55</v>
      </c>
      <c r="P355" s="9">
        <f t="shared" si="476"/>
        <v>0.91666666666666663</v>
      </c>
      <c r="Q355" s="9">
        <f t="shared" si="477"/>
        <v>0.57199999999999995</v>
      </c>
      <c r="R355" s="9">
        <f t="shared" si="478"/>
        <v>0.57199999999999995</v>
      </c>
      <c r="S355" s="9">
        <f t="shared" si="479"/>
        <v>0</v>
      </c>
      <c r="T355" s="9">
        <f t="shared" si="480"/>
        <v>0.57199999999999995</v>
      </c>
      <c r="U355" s="9">
        <f t="shared" si="481"/>
        <v>0</v>
      </c>
      <c r="V355" s="9">
        <f t="shared" si="482"/>
        <v>0</v>
      </c>
      <c r="W355" s="9">
        <f t="shared" si="483"/>
        <v>0.57199999999999995</v>
      </c>
      <c r="X355" s="9"/>
      <c r="Y355" s="9"/>
      <c r="Z355" s="9"/>
      <c r="AA355" s="9"/>
    </row>
    <row r="356" spans="1:27" x14ac:dyDescent="0.25">
      <c r="A356" s="82">
        <f>'NELIOTA (p&lt;0.5)'!A398</f>
        <v>44421</v>
      </c>
      <c r="B356" s="58" t="str">
        <f>'NELIOTA (p&lt;0.5)'!B398</f>
        <v>20:50-21:30</v>
      </c>
      <c r="C356" s="59">
        <f>'NELIOTA (p&lt;0.5)'!C398</f>
        <v>0.29399999999999998</v>
      </c>
      <c r="D356" s="60" t="str">
        <f>'NELIOTA (p&lt;0.5)'!E398</f>
        <v>0</v>
      </c>
      <c r="E356" s="112">
        <f>'NELIOTA (p&lt;0.5)'!F398</f>
        <v>0</v>
      </c>
      <c r="G356" s="8">
        <f>'NELIOTA (p&lt;0.5)'!H398</f>
        <v>0</v>
      </c>
      <c r="H356" s="8">
        <f>'NELIOTA (p&lt;0.5)'!I398</f>
        <v>0</v>
      </c>
      <c r="I356" s="8">
        <f>'NELIOTA (p&lt;0.5)'!J398</f>
        <v>100</v>
      </c>
      <c r="K356" s="98">
        <f>'NELIOTA (p&lt;0.5)'!M398</f>
        <v>0</v>
      </c>
      <c r="L356" s="93">
        <f t="shared" si="475"/>
        <v>0</v>
      </c>
      <c r="N356" s="11">
        <v>0</v>
      </c>
      <c r="O356" s="11">
        <v>40</v>
      </c>
      <c r="P356" s="9">
        <f t="shared" si="476"/>
        <v>0.66666666666666663</v>
      </c>
      <c r="Q356" s="9">
        <f t="shared" si="477"/>
        <v>0.41599999999999998</v>
      </c>
      <c r="R356" s="9">
        <f t="shared" si="478"/>
        <v>0.41599999999999998</v>
      </c>
      <c r="S356" s="9">
        <f t="shared" si="479"/>
        <v>0</v>
      </c>
      <c r="T356" s="9">
        <f t="shared" si="480"/>
        <v>0.41599999999999998</v>
      </c>
      <c r="U356" s="9">
        <f t="shared" si="481"/>
        <v>0</v>
      </c>
      <c r="V356" s="9">
        <f t="shared" si="482"/>
        <v>0</v>
      </c>
      <c r="W356" s="9">
        <f t="shared" si="483"/>
        <v>0.41599999999999998</v>
      </c>
      <c r="X356" s="9"/>
      <c r="Y356" s="9"/>
      <c r="Z356" s="9"/>
      <c r="AA356" s="9"/>
    </row>
    <row r="357" spans="1:27" x14ac:dyDescent="0.25">
      <c r="A357" s="82">
        <f>'NELIOTA (p&lt;0.5)'!A399</f>
        <v>44422</v>
      </c>
      <c r="B357" s="58" t="str">
        <f>'NELIOTA (p&lt;0.5)'!B399</f>
        <v>20:50-21:55</v>
      </c>
      <c r="C357" s="59">
        <f>'NELIOTA (p&lt;0.5)'!C399</f>
        <v>0.40400000000000003</v>
      </c>
      <c r="D357" s="60" t="str">
        <f>'NELIOTA (p&lt;0.5)'!E399</f>
        <v>0</v>
      </c>
      <c r="E357" s="112">
        <f>'NELIOTA (p&lt;0.5)'!F399</f>
        <v>0</v>
      </c>
      <c r="G357" s="8">
        <f>'NELIOTA (p&lt;0.5)'!H399</f>
        <v>0</v>
      </c>
      <c r="H357" s="8">
        <f>'NELIOTA (p&lt;0.5)'!I399</f>
        <v>0</v>
      </c>
      <c r="I357" s="8">
        <f>'NELIOTA (p&lt;0.5)'!J399</f>
        <v>100</v>
      </c>
      <c r="K357" s="98">
        <f>'NELIOTA (p&lt;0.5)'!M399</f>
        <v>0</v>
      </c>
      <c r="L357" s="93">
        <f t="shared" si="475"/>
        <v>0</v>
      </c>
      <c r="N357" s="11">
        <v>1</v>
      </c>
      <c r="O357" s="11">
        <v>5</v>
      </c>
      <c r="P357" s="9">
        <f t="shared" si="476"/>
        <v>1.0833333333333333</v>
      </c>
      <c r="Q357" s="9">
        <f t="shared" si="477"/>
        <v>0.67599999999999993</v>
      </c>
      <c r="R357" s="9">
        <f t="shared" si="478"/>
        <v>0.67599999999999993</v>
      </c>
      <c r="S357" s="9">
        <f t="shared" si="479"/>
        <v>0</v>
      </c>
      <c r="T357" s="9">
        <f t="shared" si="480"/>
        <v>0.67599999999999993</v>
      </c>
      <c r="U357" s="9">
        <f t="shared" si="481"/>
        <v>0</v>
      </c>
      <c r="V357" s="9">
        <f t="shared" si="482"/>
        <v>0</v>
      </c>
      <c r="W357" s="9">
        <f t="shared" si="483"/>
        <v>0.67599999999999993</v>
      </c>
      <c r="X357" s="9"/>
      <c r="Y357" s="9"/>
      <c r="Z357" s="9"/>
      <c r="AA357" s="9"/>
    </row>
    <row r="358" spans="1:27" x14ac:dyDescent="0.25">
      <c r="A358" s="82">
        <f>'NELIOTA (p&lt;0.5)'!A400</f>
        <v>44439</v>
      </c>
      <c r="B358" s="58" t="str">
        <f>'NELIOTA (p&lt;0.5)'!B400</f>
        <v>02:20-06:25</v>
      </c>
      <c r="C358" s="59">
        <f>'NELIOTA (p&lt;0.5)'!C400</f>
        <v>0.437</v>
      </c>
      <c r="D358" s="60" t="str">
        <f>'NELIOTA (p&lt;0.5)'!E400</f>
        <v>0</v>
      </c>
      <c r="E358" s="112">
        <f>'NELIOTA (p&lt;0.5)'!F400</f>
        <v>0</v>
      </c>
      <c r="G358" s="8">
        <f>'NELIOTA (p&lt;0.5)'!H400</f>
        <v>0</v>
      </c>
      <c r="H358" s="8">
        <f>'NELIOTA (p&lt;0.5)'!I400</f>
        <v>0</v>
      </c>
      <c r="I358" s="8">
        <f>'NELIOTA (p&lt;0.5)'!J400</f>
        <v>100</v>
      </c>
      <c r="K358" s="98">
        <f>'NELIOTA (p&lt;0.5)'!M400</f>
        <v>0</v>
      </c>
      <c r="L358" s="93">
        <f t="shared" ref="L358" si="484">K358/3600</f>
        <v>0</v>
      </c>
      <c r="N358" s="11">
        <v>4</v>
      </c>
      <c r="O358" s="11">
        <v>5</v>
      </c>
      <c r="P358" s="9">
        <f t="shared" ref="P358" si="485">N358+O358/60</f>
        <v>4.083333333333333</v>
      </c>
      <c r="Q358" s="9">
        <f t="shared" ref="Q358" si="486">P358*62.4%</f>
        <v>2.5479999999999996</v>
      </c>
      <c r="R358" s="9">
        <f t="shared" ref="R358" si="487">IF(G358=100,L358,Q358)</f>
        <v>2.5479999999999996</v>
      </c>
      <c r="S358" s="9">
        <f t="shared" ref="S358" si="488">100*L358/Q358</f>
        <v>0</v>
      </c>
      <c r="T358" s="9">
        <f t="shared" ref="T358" si="489">R358</f>
        <v>2.5479999999999996</v>
      </c>
      <c r="U358" s="9">
        <f t="shared" ref="U358" si="490">L358</f>
        <v>0</v>
      </c>
      <c r="V358" s="9">
        <f t="shared" ref="V358" si="491">T358*H358%</f>
        <v>0</v>
      </c>
      <c r="W358" s="9">
        <f t="shared" ref="W358" si="492">T358*I358%</f>
        <v>2.5479999999999996</v>
      </c>
      <c r="X358" s="9">
        <f>SUM(U352:U358)</f>
        <v>1.9625777777777778</v>
      </c>
      <c r="Y358" s="9">
        <f>100*X358/SUM(T352:T358)</f>
        <v>23.887742217516347</v>
      </c>
      <c r="Z358" s="9">
        <f>100*SUM(V352:V358)/SUM(T352:T358)</f>
        <v>0</v>
      </c>
      <c r="AA358" s="9">
        <f>100*SUM(W352:W358)/SUM(T352:T358)</f>
        <v>76.937483039191804</v>
      </c>
    </row>
    <row r="359" spans="1:27" s="48" customFormat="1" x14ac:dyDescent="0.25">
      <c r="A359" s="94">
        <f>'NELIOTA (p&lt;0.5)'!A401</f>
        <v>44440</v>
      </c>
      <c r="B359" s="62" t="str">
        <f>'NELIOTA (p&lt;0.5)'!B401</f>
        <v>03:05-06:25</v>
      </c>
      <c r="C359" s="63">
        <f>'NELIOTA (p&lt;0.5)'!C401</f>
        <v>0.34200000000000003</v>
      </c>
      <c r="D359" s="64" t="str">
        <f>'NELIOTA (p&lt;0.5)'!E401</f>
        <v>0</v>
      </c>
      <c r="E359" s="119">
        <f>'NELIOTA (p&lt;0.5)'!F401</f>
        <v>0</v>
      </c>
      <c r="G359" s="24">
        <f>'NELIOTA (p&lt;0.5)'!H401</f>
        <v>0</v>
      </c>
      <c r="H359" s="24">
        <f>'NELIOTA (p&lt;0.5)'!I401</f>
        <v>0</v>
      </c>
      <c r="I359" s="24">
        <f>'NELIOTA (p&lt;0.5)'!J401</f>
        <v>100</v>
      </c>
      <c r="K359" s="101">
        <f>'NELIOTA (p&lt;0.5)'!M401</f>
        <v>0</v>
      </c>
      <c r="L359" s="92">
        <f t="shared" ref="L359" si="493">K359/3600</f>
        <v>0</v>
      </c>
      <c r="N359" s="47">
        <v>3</v>
      </c>
      <c r="O359" s="47">
        <v>20</v>
      </c>
      <c r="P359" s="33">
        <f t="shared" ref="P359" si="494">N359+O359/60</f>
        <v>3.3333333333333335</v>
      </c>
      <c r="Q359" s="33">
        <f t="shared" ref="Q359" si="495">P359*62.4%</f>
        <v>2.08</v>
      </c>
      <c r="R359" s="33">
        <f t="shared" ref="R359" si="496">IF(G359=100,L359,Q359)</f>
        <v>2.08</v>
      </c>
      <c r="S359" s="33">
        <f t="shared" ref="S359" si="497">100*L359/Q359</f>
        <v>0</v>
      </c>
      <c r="T359" s="33">
        <f t="shared" ref="T359" si="498">R359</f>
        <v>2.08</v>
      </c>
      <c r="U359" s="33">
        <f t="shared" ref="U359" si="499">L359</f>
        <v>0</v>
      </c>
      <c r="V359" s="33">
        <f t="shared" ref="V359" si="500">T359*H359%</f>
        <v>0</v>
      </c>
      <c r="W359" s="33">
        <f t="shared" ref="W359" si="501">T359*I359%</f>
        <v>2.08</v>
      </c>
    </row>
    <row r="360" spans="1:27" x14ac:dyDescent="0.25">
      <c r="A360" s="82">
        <f>'NELIOTA (p&lt;0.5)'!A402</f>
        <v>44441</v>
      </c>
      <c r="B360" s="58" t="str">
        <f>'NELIOTA (p&lt;0.5)'!B402</f>
        <v>03:55-06:25</v>
      </c>
      <c r="C360" s="59">
        <f>'NELIOTA (p&lt;0.5)'!C402</f>
        <v>0.25</v>
      </c>
      <c r="D360" s="60" t="str">
        <f>'NELIOTA (p&lt;0.5)'!E402</f>
        <v>0</v>
      </c>
      <c r="E360" s="112">
        <f>'NELIOTA (p&lt;0.5)'!F402</f>
        <v>0</v>
      </c>
      <c r="G360" s="8">
        <f>'NELIOTA (p&lt;0.5)'!H402</f>
        <v>0</v>
      </c>
      <c r="H360" s="8">
        <f>'NELIOTA (p&lt;0.5)'!I402</f>
        <v>0</v>
      </c>
      <c r="I360" s="8">
        <f>'NELIOTA (p&lt;0.5)'!J402</f>
        <v>100</v>
      </c>
      <c r="K360" s="98">
        <f>'NELIOTA (p&lt;0.5)'!M402</f>
        <v>0</v>
      </c>
      <c r="L360" s="93">
        <f t="shared" ref="L360:L362" si="502">K360/3600</f>
        <v>0</v>
      </c>
      <c r="N360" s="11">
        <v>2</v>
      </c>
      <c r="O360" s="11">
        <v>30</v>
      </c>
      <c r="P360" s="9">
        <f t="shared" ref="P360:P362" si="503">N360+O360/60</f>
        <v>2.5</v>
      </c>
      <c r="Q360" s="9">
        <f t="shared" ref="Q360:Q362" si="504">P360*62.4%</f>
        <v>1.56</v>
      </c>
      <c r="R360" s="9">
        <f t="shared" ref="R360:R362" si="505">IF(G360=100,L360,Q360)</f>
        <v>1.56</v>
      </c>
      <c r="S360" s="9">
        <f t="shared" ref="S360:S362" si="506">100*L360/Q360</f>
        <v>0</v>
      </c>
      <c r="T360" s="9">
        <f t="shared" ref="T360:T362" si="507">R360</f>
        <v>1.56</v>
      </c>
      <c r="U360" s="9">
        <f t="shared" ref="U360:U362" si="508">L360</f>
        <v>0</v>
      </c>
      <c r="V360" s="9">
        <f t="shared" ref="V360:V362" si="509">T360*H360%</f>
        <v>0</v>
      </c>
      <c r="W360" s="9">
        <f t="shared" ref="W360:W362" si="510">T360*I360%</f>
        <v>1.56</v>
      </c>
    </row>
    <row r="361" spans="1:27" x14ac:dyDescent="0.25">
      <c r="A361" s="82">
        <f>'NELIOTA (p&lt;0.5)'!A403</f>
        <v>44442</v>
      </c>
      <c r="B361" s="58" t="str">
        <f>'NELIOTA (p&lt;0.5)'!B403</f>
        <v>04:50-06:25</v>
      </c>
      <c r="C361" s="59">
        <f>'NELIOTA (p&lt;0.5)'!C403</f>
        <v>0.16700000000000001</v>
      </c>
      <c r="D361" s="60" t="str">
        <f>'NELIOTA (p&lt;0.5)'!E403</f>
        <v>0</v>
      </c>
      <c r="E361" s="112">
        <f>'NELIOTA (p&lt;0.5)'!F403</f>
        <v>0</v>
      </c>
      <c r="G361" s="8">
        <f>'NELIOTA (p&lt;0.5)'!H403</f>
        <v>0</v>
      </c>
      <c r="H361" s="8">
        <f>'NELIOTA (p&lt;0.5)'!I403</f>
        <v>0</v>
      </c>
      <c r="I361" s="8">
        <f>'NELIOTA (p&lt;0.5)'!J403</f>
        <v>100</v>
      </c>
      <c r="K361" s="98">
        <f>'NELIOTA (p&lt;0.5)'!M403</f>
        <v>0</v>
      </c>
      <c r="L361" s="93">
        <f t="shared" si="502"/>
        <v>0</v>
      </c>
      <c r="N361" s="11">
        <v>1</v>
      </c>
      <c r="O361" s="11">
        <v>35</v>
      </c>
      <c r="P361" s="9">
        <f t="shared" si="503"/>
        <v>1.5833333333333335</v>
      </c>
      <c r="Q361" s="9">
        <f t="shared" si="504"/>
        <v>0.9880000000000001</v>
      </c>
      <c r="R361" s="9">
        <f t="shared" si="505"/>
        <v>0.9880000000000001</v>
      </c>
      <c r="S361" s="9">
        <f t="shared" si="506"/>
        <v>0</v>
      </c>
      <c r="T361" s="9">
        <f t="shared" si="507"/>
        <v>0.9880000000000001</v>
      </c>
      <c r="U361" s="9">
        <f t="shared" si="508"/>
        <v>0</v>
      </c>
      <c r="V361" s="9">
        <f t="shared" si="509"/>
        <v>0</v>
      </c>
      <c r="W361" s="9">
        <f t="shared" si="510"/>
        <v>0.9880000000000001</v>
      </c>
    </row>
    <row r="362" spans="1:27" x14ac:dyDescent="0.25">
      <c r="A362" s="82">
        <f>'NELIOTA (p&lt;0.5)'!A404</f>
        <v>44451</v>
      </c>
      <c r="B362" s="58" t="str">
        <f>'NELIOTA (p&lt;0.5)'!B404</f>
        <v>20:05-20:45</v>
      </c>
      <c r="C362" s="59">
        <f>'NELIOTA (p&lt;0.5)'!C404</f>
        <v>0.374</v>
      </c>
      <c r="D362" s="60" t="str">
        <f>'NELIOTA (p&lt;0.5)'!E404</f>
        <v>0</v>
      </c>
      <c r="E362" s="112">
        <f>'NELIOTA (p&lt;0.5)'!F404</f>
        <v>0</v>
      </c>
      <c r="G362" s="8">
        <f>'NELIOTA (p&lt;0.5)'!H404</f>
        <v>0</v>
      </c>
      <c r="H362" s="8">
        <f>'NELIOTA (p&lt;0.5)'!I404</f>
        <v>0</v>
      </c>
      <c r="I362" s="8">
        <f>'NELIOTA (p&lt;0.5)'!J404</f>
        <v>100</v>
      </c>
      <c r="K362" s="98">
        <f>'NELIOTA (p&lt;0.5)'!M404</f>
        <v>0</v>
      </c>
      <c r="L362" s="93">
        <f t="shared" si="502"/>
        <v>0</v>
      </c>
      <c r="N362" s="11">
        <v>0</v>
      </c>
      <c r="O362" s="11">
        <v>40</v>
      </c>
      <c r="P362" s="9">
        <f t="shared" si="503"/>
        <v>0.66666666666666663</v>
      </c>
      <c r="Q362" s="9">
        <f t="shared" si="504"/>
        <v>0.41599999999999998</v>
      </c>
      <c r="R362" s="9">
        <f t="shared" si="505"/>
        <v>0.41599999999999998</v>
      </c>
      <c r="S362" s="9">
        <f t="shared" si="506"/>
        <v>0</v>
      </c>
      <c r="T362" s="9">
        <f t="shared" si="507"/>
        <v>0.41599999999999998</v>
      </c>
      <c r="U362" s="9">
        <f t="shared" si="508"/>
        <v>0</v>
      </c>
      <c r="V362" s="9">
        <f t="shared" si="509"/>
        <v>0</v>
      </c>
      <c r="W362" s="9">
        <f t="shared" si="510"/>
        <v>0.41599999999999998</v>
      </c>
    </row>
    <row r="363" spans="1:27" x14ac:dyDescent="0.25">
      <c r="A363" s="82">
        <f>'NELIOTA (p&lt;0.5)'!A405</f>
        <v>44469</v>
      </c>
      <c r="B363" s="58" t="str">
        <f>'NELIOTA (p&lt;0.5)'!B405</f>
        <v>02:35-06:50</v>
      </c>
      <c r="C363" s="59">
        <f>'NELIOTA (p&lt;0.5)'!C405</f>
        <v>0.41399999999999998</v>
      </c>
      <c r="D363" s="60" t="str">
        <f>'NELIOTA (p&lt;0.5)'!E405</f>
        <v>0</v>
      </c>
      <c r="E363" s="112" t="str">
        <f>'NELIOTA (p&lt;0.5)'!F405</f>
        <v>Cloudiness</v>
      </c>
      <c r="G363" s="8">
        <f>'NELIOTA (p&lt;0.5)'!H405</f>
        <v>0</v>
      </c>
      <c r="H363" s="8">
        <f>'NELIOTA (p&lt;0.5)'!I405</f>
        <v>100</v>
      </c>
      <c r="I363" s="8">
        <f>'NELIOTA (p&lt;0.5)'!J405</f>
        <v>0</v>
      </c>
      <c r="K363" s="98">
        <f>'NELIOTA (p&lt;0.5)'!M405</f>
        <v>0</v>
      </c>
      <c r="L363" s="93">
        <f t="shared" ref="L363" si="511">K363/3600</f>
        <v>0</v>
      </c>
      <c r="N363" s="11">
        <v>4</v>
      </c>
      <c r="O363" s="11">
        <v>15</v>
      </c>
      <c r="P363" s="9">
        <f t="shared" ref="P363" si="512">N363+O363/60</f>
        <v>4.25</v>
      </c>
      <c r="Q363" s="9">
        <f t="shared" ref="Q363" si="513">P363*62.4%</f>
        <v>2.6520000000000001</v>
      </c>
      <c r="R363" s="9">
        <f t="shared" ref="R363" si="514">IF(G363=100,L363,Q363)</f>
        <v>2.6520000000000001</v>
      </c>
      <c r="S363" s="9">
        <f t="shared" ref="S363" si="515">100*L363/Q363</f>
        <v>0</v>
      </c>
      <c r="T363" s="9">
        <f t="shared" ref="T363" si="516">R363</f>
        <v>2.6520000000000001</v>
      </c>
      <c r="U363" s="9">
        <f t="shared" ref="U363" si="517">L363</f>
        <v>0</v>
      </c>
      <c r="V363" s="9">
        <f t="shared" ref="V363" si="518">T363*H363%</f>
        <v>2.6520000000000001</v>
      </c>
      <c r="W363" s="9">
        <f t="shared" ref="W363" si="519">T363*I363%</f>
        <v>0</v>
      </c>
      <c r="X363" s="9">
        <f>SUM(U359:U363)</f>
        <v>0</v>
      </c>
      <c r="Y363" s="9">
        <f>100*X363/SUM(T359:T363)</f>
        <v>0</v>
      </c>
      <c r="Z363" s="9">
        <f>100*SUM(V359:V363)/SUM(T359:T363)</f>
        <v>34.459459459459453</v>
      </c>
      <c r="AA363" s="9">
        <f>100*SUM(W359:W363)/SUM(T359:T363)</f>
        <v>65.540540540540533</v>
      </c>
    </row>
    <row r="364" spans="1:27" s="48" customFormat="1" x14ac:dyDescent="0.25">
      <c r="A364" s="94">
        <f>'NELIOTA (p&lt;0.5)'!A406</f>
        <v>44470</v>
      </c>
      <c r="B364" s="62" t="str">
        <f>'NELIOTA (p&lt;0.5)'!B406</f>
        <v>03:35-06:50</v>
      </c>
      <c r="C364" s="63">
        <f>'NELIOTA (p&lt;0.5)'!C406</f>
        <v>0.316</v>
      </c>
      <c r="D364" s="64" t="str">
        <f>'NELIOTA (p&lt;0.5)'!E406</f>
        <v>0</v>
      </c>
      <c r="E364" s="119" t="str">
        <f>'NELIOTA (p&lt;0.5)'!F406</f>
        <v>Cloudiness</v>
      </c>
      <c r="G364" s="24">
        <f>'NELIOTA (p&lt;0.5)'!H406</f>
        <v>0</v>
      </c>
      <c r="H364" s="24">
        <f>'NELIOTA (p&lt;0.5)'!I406</f>
        <v>100</v>
      </c>
      <c r="I364" s="24">
        <f>'NELIOTA (p&lt;0.5)'!J406</f>
        <v>0</v>
      </c>
      <c r="K364" s="101">
        <f>'NELIOTA (p&lt;0.5)'!M406</f>
        <v>0</v>
      </c>
      <c r="L364" s="92">
        <f t="shared" ref="L364" si="520">K364/3600</f>
        <v>0</v>
      </c>
      <c r="N364" s="47">
        <v>3</v>
      </c>
      <c r="O364" s="47">
        <v>15</v>
      </c>
      <c r="P364" s="33">
        <f t="shared" ref="P364" si="521">N364+O364/60</f>
        <v>3.25</v>
      </c>
      <c r="Q364" s="33">
        <f t="shared" ref="Q364" si="522">P364*62.4%</f>
        <v>2.028</v>
      </c>
      <c r="R364" s="33">
        <f t="shared" ref="R364" si="523">IF(G364=100,L364,Q364)</f>
        <v>2.028</v>
      </c>
      <c r="S364" s="33">
        <f t="shared" ref="S364" si="524">100*L364/Q364</f>
        <v>0</v>
      </c>
      <c r="T364" s="33">
        <f t="shared" ref="T364" si="525">R364</f>
        <v>2.028</v>
      </c>
      <c r="U364" s="33">
        <f t="shared" ref="U364" si="526">L364</f>
        <v>0</v>
      </c>
      <c r="V364" s="33">
        <f t="shared" ref="V364" si="527">T364*H364%</f>
        <v>2.028</v>
      </c>
      <c r="W364" s="33">
        <f t="shared" ref="W364" si="528">T364*I364%</f>
        <v>0</v>
      </c>
      <c r="X364" s="33"/>
      <c r="Y364" s="33"/>
      <c r="Z364" s="33"/>
      <c r="AA364" s="33"/>
    </row>
    <row r="365" spans="1:27" x14ac:dyDescent="0.25">
      <c r="A365" s="82">
        <f>'NELIOTA (p&lt;0.5)'!A407</f>
        <v>44471</v>
      </c>
      <c r="B365" s="58" t="str">
        <f>'NELIOTA (p&lt;0.5)'!B407</f>
        <v>04:35-06:50</v>
      </c>
      <c r="C365" s="59">
        <f>'NELIOTA (p&lt;0.5)'!C407</f>
        <v>0.222</v>
      </c>
      <c r="D365" s="60" t="str">
        <f>'NELIOTA (p&lt;0.5)'!E407</f>
        <v>0</v>
      </c>
      <c r="E365" s="112" t="str">
        <f>'NELIOTA (p&lt;0.5)'!F407</f>
        <v>Cloudiness</v>
      </c>
      <c r="G365" s="8">
        <f>'NELIOTA (p&lt;0.5)'!H407</f>
        <v>0</v>
      </c>
      <c r="H365" s="8">
        <f>'NELIOTA (p&lt;0.5)'!I407</f>
        <v>100</v>
      </c>
      <c r="I365" s="8">
        <f>'NELIOTA (p&lt;0.5)'!J407</f>
        <v>0</v>
      </c>
      <c r="K365" s="98">
        <f>'NELIOTA (p&lt;0.5)'!M407</f>
        <v>0</v>
      </c>
      <c r="L365" s="93">
        <f t="shared" ref="L365:L366" si="529">K365/3600</f>
        <v>0</v>
      </c>
      <c r="N365" s="11">
        <v>2</v>
      </c>
      <c r="O365" s="11">
        <v>15</v>
      </c>
      <c r="P365" s="9">
        <f t="shared" ref="P365:P366" si="530">N365+O365/60</f>
        <v>2.25</v>
      </c>
      <c r="Q365" s="9">
        <f t="shared" ref="Q365:Q366" si="531">P365*62.4%</f>
        <v>1.4039999999999999</v>
      </c>
      <c r="R365" s="9">
        <f t="shared" ref="R365:R366" si="532">IF(G365=100,L365,Q365)</f>
        <v>1.4039999999999999</v>
      </c>
      <c r="S365" s="9">
        <f t="shared" ref="S365:S366" si="533">100*L365/Q365</f>
        <v>0</v>
      </c>
      <c r="T365" s="9">
        <f t="shared" ref="T365:T366" si="534">R365</f>
        <v>1.4039999999999999</v>
      </c>
      <c r="U365" s="9">
        <f t="shared" ref="U365:U366" si="535">L365</f>
        <v>0</v>
      </c>
      <c r="V365" s="9">
        <f t="shared" ref="V365:V366" si="536">T365*H365%</f>
        <v>1.4039999999999999</v>
      </c>
      <c r="W365" s="9">
        <f t="shared" ref="W365:W366" si="537">T365*I365%</f>
        <v>0</v>
      </c>
      <c r="X365" s="9"/>
      <c r="Y365" s="9"/>
      <c r="Z365" s="9"/>
      <c r="AA365" s="9"/>
    </row>
    <row r="366" spans="1:27" x14ac:dyDescent="0.25">
      <c r="A366" s="82">
        <f>'NELIOTA (p&lt;0.5)'!A408</f>
        <v>44472</v>
      </c>
      <c r="B366" s="58" t="str">
        <f>'NELIOTA (p&lt;0.5)'!B408</f>
        <v>05:35-06:50</v>
      </c>
      <c r="C366" s="59">
        <f>'NELIOTA (p&lt;0.5)'!C408</f>
        <v>0.13800000000000001</v>
      </c>
      <c r="D366" s="60" t="str">
        <f>'NELIOTA (p&lt;0.5)'!E408</f>
        <v>1 val</v>
      </c>
      <c r="E366" s="112" t="str">
        <f>'NELIOTA (p&lt;0.5)'!F408</f>
        <v>good</v>
      </c>
      <c r="G366" s="8">
        <f>'NELIOTA (p&lt;0.5)'!H408</f>
        <v>95</v>
      </c>
      <c r="H366" s="8">
        <f>'NELIOTA (p&lt;0.5)'!I408</f>
        <v>5</v>
      </c>
      <c r="I366" s="8">
        <f>'NELIOTA (p&lt;0.5)'!J408</f>
        <v>0</v>
      </c>
      <c r="K366" s="98">
        <f>'NELIOTA (p&lt;0.5)'!M408</f>
        <v>3368.58</v>
      </c>
      <c r="L366" s="93">
        <f t="shared" si="529"/>
        <v>0.93571666666666664</v>
      </c>
      <c r="N366" s="11">
        <v>1</v>
      </c>
      <c r="O366" s="11">
        <v>34.5</v>
      </c>
      <c r="P366" s="9">
        <f t="shared" si="530"/>
        <v>1.575</v>
      </c>
      <c r="Q366" s="9">
        <f t="shared" si="531"/>
        <v>0.98280000000000001</v>
      </c>
      <c r="R366" s="9">
        <f t="shared" si="532"/>
        <v>0.98280000000000001</v>
      </c>
      <c r="S366" s="9">
        <f t="shared" si="533"/>
        <v>95.209266042599367</v>
      </c>
      <c r="T366" s="9">
        <f t="shared" si="534"/>
        <v>0.98280000000000001</v>
      </c>
      <c r="U366" s="9">
        <f t="shared" si="535"/>
        <v>0.93571666666666664</v>
      </c>
      <c r="V366" s="9">
        <f t="shared" si="536"/>
        <v>4.9140000000000003E-2</v>
      </c>
      <c r="W366" s="9">
        <f t="shared" si="537"/>
        <v>0</v>
      </c>
      <c r="X366" s="9"/>
      <c r="Y366" s="9"/>
      <c r="Z366" s="9"/>
      <c r="AA366" s="9"/>
    </row>
    <row r="367" spans="1:27" x14ac:dyDescent="0.25">
      <c r="A367" s="82">
        <f>'NELIOTA (p&lt;0.5)'!A409</f>
        <v>44480</v>
      </c>
      <c r="B367" s="58" t="str">
        <f>'NELIOTA (p&lt;0.5)'!B409</f>
        <v>19:20-20:00</v>
      </c>
      <c r="C367" s="59">
        <f>'NELIOTA (p&lt;0.5)'!C409</f>
        <v>0.34</v>
      </c>
      <c r="D367" s="60" t="str">
        <f>'NELIOTA (p&lt;0.5)'!E409</f>
        <v>1 val</v>
      </c>
      <c r="E367" s="112" t="str">
        <f>'NELIOTA (p&lt;0.5)'!F409</f>
        <v>moderate</v>
      </c>
      <c r="G367" s="8">
        <f>'NELIOTA (p&lt;0.5)'!H409</f>
        <v>100</v>
      </c>
      <c r="H367" s="8">
        <f>'NELIOTA (p&lt;0.5)'!I409</f>
        <v>0</v>
      </c>
      <c r="I367" s="8">
        <f>'NELIOTA (p&lt;0.5)'!J409</f>
        <v>0</v>
      </c>
      <c r="K367" s="98">
        <f>'NELIOTA (p&lt;0.5)'!M409</f>
        <v>1717.87</v>
      </c>
      <c r="L367" s="93">
        <f t="shared" ref="L367:L368" si="538">K367/3600</f>
        <v>0.47718611111111109</v>
      </c>
      <c r="N367" s="11">
        <v>0</v>
      </c>
      <c r="O367" s="11">
        <v>45.884999999999998</v>
      </c>
      <c r="P367" s="9">
        <f t="shared" ref="P367:P368" si="539">N367+O367/60</f>
        <v>0.76474999999999993</v>
      </c>
      <c r="Q367" s="9">
        <f t="shared" ref="Q367:Q368" si="540">P367*62.4%</f>
        <v>0.47720399999999996</v>
      </c>
      <c r="R367" s="9">
        <f t="shared" ref="R367:R368" si="541">IF(G367=100,L367,Q367)</f>
        <v>0.47718611111111109</v>
      </c>
      <c r="S367" s="9">
        <f t="shared" ref="S367:S368" si="542">100*L367/Q367</f>
        <v>99.996251312040783</v>
      </c>
      <c r="T367" s="9">
        <f t="shared" ref="T367:T368" si="543">R367</f>
        <v>0.47718611111111109</v>
      </c>
      <c r="U367" s="9">
        <f t="shared" ref="U367:U368" si="544">L367</f>
        <v>0.47718611111111109</v>
      </c>
      <c r="V367" s="9">
        <f t="shared" ref="V367:V368" si="545">T367*H367%</f>
        <v>0</v>
      </c>
      <c r="W367" s="9">
        <f t="shared" ref="W367:W368" si="546">T367*I367%</f>
        <v>0</v>
      </c>
      <c r="X367" s="9"/>
      <c r="Y367" s="9"/>
      <c r="Z367" s="9"/>
      <c r="AA367" s="9"/>
    </row>
    <row r="368" spans="1:27" x14ac:dyDescent="0.25">
      <c r="A368" s="82">
        <f>'NELIOTA (p&lt;0.5)'!A410</f>
        <v>44481</v>
      </c>
      <c r="B368" s="58" t="str">
        <f>'NELIOTA (p&lt;0.5)'!B410</f>
        <v>19:20-21:00</v>
      </c>
      <c r="C368" s="59">
        <f>'NELIOTA (p&lt;0.5)'!C410</f>
        <v>0.45800000000000002</v>
      </c>
      <c r="D368" s="60" t="str">
        <f>'NELIOTA (p&lt;0.5)'!E410</f>
        <v>2 val</v>
      </c>
      <c r="E368" s="112" t="str">
        <f>'NELIOTA (p&lt;0.5)'!F410</f>
        <v>very good</v>
      </c>
      <c r="G368" s="8">
        <f>'NELIOTA (p&lt;0.5)'!H410</f>
        <v>100</v>
      </c>
      <c r="H368" s="8">
        <f>'NELIOTA (p&lt;0.5)'!I410</f>
        <v>0</v>
      </c>
      <c r="I368" s="8">
        <f>'NELIOTA (p&lt;0.5)'!J410</f>
        <v>0</v>
      </c>
      <c r="K368" s="98">
        <f>'NELIOTA (p&lt;0.5)'!M410</f>
        <v>3801.7159999999999</v>
      </c>
      <c r="L368" s="93">
        <f t="shared" si="538"/>
        <v>1.0560322222222223</v>
      </c>
      <c r="N368" s="11">
        <v>1</v>
      </c>
      <c r="O368" s="11">
        <v>41.54</v>
      </c>
      <c r="P368" s="9">
        <f t="shared" si="539"/>
        <v>1.6923333333333335</v>
      </c>
      <c r="Q368" s="9">
        <f t="shared" si="540"/>
        <v>1.0560160000000001</v>
      </c>
      <c r="R368" s="9">
        <f t="shared" si="541"/>
        <v>1.0560322222222223</v>
      </c>
      <c r="S368" s="9">
        <f t="shared" si="542"/>
        <v>100.00153617201086</v>
      </c>
      <c r="T368" s="9">
        <f t="shared" si="543"/>
        <v>1.0560322222222223</v>
      </c>
      <c r="U368" s="9">
        <f t="shared" si="544"/>
        <v>1.0560322222222223</v>
      </c>
      <c r="V368" s="9">
        <f t="shared" si="545"/>
        <v>0</v>
      </c>
      <c r="W368" s="9">
        <f t="shared" si="546"/>
        <v>0</v>
      </c>
      <c r="X368" s="9"/>
      <c r="Y368" s="9"/>
      <c r="Z368" s="9"/>
      <c r="AA368" s="9"/>
    </row>
    <row r="369" spans="1:27" x14ac:dyDescent="0.25">
      <c r="A369" s="82">
        <f>'NELIOTA (p&lt;0.5)'!A411</f>
        <v>44499</v>
      </c>
      <c r="B369" s="58" t="str">
        <f>'NELIOTA (p&lt;0.5)'!B411</f>
        <v>03:20-07:20</v>
      </c>
      <c r="C369" s="59">
        <f>'NELIOTA (p&lt;0.5)'!C411</f>
        <v>0.38400000000000001</v>
      </c>
      <c r="D369" s="60" t="str">
        <f>'NELIOTA (p&lt;0.5)'!E411</f>
        <v>0</v>
      </c>
      <c r="E369" s="112" t="str">
        <f>'NELIOTA (p&lt;0.5)'!F411</f>
        <v>Cloudiness</v>
      </c>
      <c r="G369" s="8">
        <f>'NELIOTA (p&lt;0.5)'!H411</f>
        <v>0</v>
      </c>
      <c r="H369" s="8">
        <f>'NELIOTA (p&lt;0.5)'!I411</f>
        <v>100</v>
      </c>
      <c r="I369" s="8">
        <f>'NELIOTA (p&lt;0.5)'!J411</f>
        <v>0</v>
      </c>
      <c r="K369" s="98">
        <f>'NELIOTA (p&lt;0.5)'!M411</f>
        <v>0</v>
      </c>
      <c r="L369" s="93">
        <f t="shared" ref="L369:L370" si="547">K369/3600</f>
        <v>0</v>
      </c>
      <c r="N369" s="11">
        <v>4</v>
      </c>
      <c r="O369" s="11">
        <v>0</v>
      </c>
      <c r="P369" s="9">
        <f t="shared" ref="P369:P378" si="548">N369+O369/60</f>
        <v>4</v>
      </c>
      <c r="Q369" s="9">
        <f t="shared" ref="Q369:Q378" si="549">P369*62.4%</f>
        <v>2.496</v>
      </c>
      <c r="R369" s="9">
        <f t="shared" ref="R369:R378" si="550">IF(G369=100,L369,Q369)</f>
        <v>2.496</v>
      </c>
      <c r="S369" s="9">
        <f t="shared" ref="S369:S378" si="551">100*L369/Q369</f>
        <v>0</v>
      </c>
      <c r="T369" s="9">
        <f t="shared" ref="T369:T378" si="552">R369</f>
        <v>2.496</v>
      </c>
      <c r="U369" s="9">
        <f t="shared" ref="U369:U378" si="553">L369</f>
        <v>0</v>
      </c>
      <c r="V369" s="9">
        <f t="shared" ref="V369:V378" si="554">T369*H369%</f>
        <v>2.496</v>
      </c>
      <c r="W369" s="9">
        <f t="shared" ref="W369:W378" si="555">T369*I369%</f>
        <v>0</v>
      </c>
      <c r="X369" s="9"/>
      <c r="Y369" s="9"/>
      <c r="Z369" s="9"/>
      <c r="AA369" s="9"/>
    </row>
    <row r="370" spans="1:27" x14ac:dyDescent="0.25">
      <c r="A370" s="82">
        <f>'NELIOTA (p&lt;0.5)'!A412</f>
        <v>44500</v>
      </c>
      <c r="B370" s="58" t="str">
        <f>'NELIOTA (p&lt;0.5)'!B412</f>
        <v>03:20-06:20</v>
      </c>
      <c r="C370" s="59">
        <f>'NELIOTA (p&lt;0.5)'!C412</f>
        <v>0.27</v>
      </c>
      <c r="D370" s="60" t="str">
        <f>'NELIOTA (p&lt;0.5)'!E412</f>
        <v>0</v>
      </c>
      <c r="E370" s="112" t="str">
        <f>'NELIOTA (p&lt;0.5)'!F412</f>
        <v>Cloudiness</v>
      </c>
      <c r="G370" s="8">
        <f>'NELIOTA (p&lt;0.5)'!H412</f>
        <v>0</v>
      </c>
      <c r="H370" s="8">
        <f>'NELIOTA (p&lt;0.5)'!I412</f>
        <v>100</v>
      </c>
      <c r="I370" s="8">
        <f>'NELIOTA (p&lt;0.5)'!J412</f>
        <v>0</v>
      </c>
      <c r="K370" s="98">
        <f>'NELIOTA (p&lt;0.5)'!M412</f>
        <v>0</v>
      </c>
      <c r="L370" s="93">
        <f t="shared" si="547"/>
        <v>0</v>
      </c>
      <c r="N370" s="11">
        <v>3</v>
      </c>
      <c r="O370" s="11">
        <v>0</v>
      </c>
      <c r="P370" s="9">
        <f t="shared" si="548"/>
        <v>3</v>
      </c>
      <c r="Q370" s="9">
        <f t="shared" si="549"/>
        <v>1.8719999999999999</v>
      </c>
      <c r="R370" s="9">
        <f t="shared" si="550"/>
        <v>1.8719999999999999</v>
      </c>
      <c r="S370" s="9">
        <f t="shared" si="551"/>
        <v>0</v>
      </c>
      <c r="T370" s="9">
        <f t="shared" si="552"/>
        <v>1.8719999999999999</v>
      </c>
      <c r="U370" s="9">
        <f t="shared" si="553"/>
        <v>0</v>
      </c>
      <c r="V370" s="9">
        <f t="shared" si="554"/>
        <v>1.8719999999999999</v>
      </c>
      <c r="W370" s="9">
        <f t="shared" si="555"/>
        <v>0</v>
      </c>
      <c r="X370" s="9">
        <f>SUM(U364:U370)</f>
        <v>2.4689350000000001</v>
      </c>
      <c r="Y370" s="9">
        <f>100*X370/SUM(T364:T370)</f>
        <v>23.933022608367477</v>
      </c>
      <c r="Z370" s="9">
        <f>100*SUM(V364:V370)/SUM(T364:T370)</f>
        <v>76.086914024160819</v>
      </c>
      <c r="AA370" s="9">
        <f>100*SUM(W364:W370)/SUM(T364:T370)</f>
        <v>0</v>
      </c>
    </row>
    <row r="371" spans="1:27" s="48" customFormat="1" x14ac:dyDescent="0.25">
      <c r="A371" s="94">
        <f>'NELIOTA (p&lt;0.5)'!A413</f>
        <v>44501</v>
      </c>
      <c r="B371" s="62" t="str">
        <f>'NELIOTA (p&lt;0.5)'!B413</f>
        <v>04:30-06:20</v>
      </c>
      <c r="C371" s="63">
        <f>'NELIOTA (p&lt;0.5)'!C413</f>
        <v>0.187</v>
      </c>
      <c r="D371" s="64" t="str">
        <f>'NELIOTA (p&lt;0.5)'!E413</f>
        <v>0</v>
      </c>
      <c r="E371" s="119" t="str">
        <f>'NELIOTA (p&lt;0.5)'!F413</f>
        <v>Cloudiness</v>
      </c>
      <c r="G371" s="24">
        <f>'NELIOTA (p&lt;0.5)'!H413</f>
        <v>0</v>
      </c>
      <c r="H371" s="24">
        <f>'NELIOTA (p&lt;0.5)'!I413</f>
        <v>100</v>
      </c>
      <c r="I371" s="24">
        <f>'NELIOTA (p&lt;0.5)'!J413</f>
        <v>0</v>
      </c>
      <c r="K371" s="101">
        <f>'NELIOTA (p&lt;0.5)'!M413</f>
        <v>0</v>
      </c>
      <c r="L371" s="92">
        <f t="shared" ref="L371:L375" si="556">K371/3600</f>
        <v>0</v>
      </c>
      <c r="N371" s="47">
        <v>1</v>
      </c>
      <c r="O371" s="47">
        <v>50</v>
      </c>
      <c r="P371" s="33">
        <f t="shared" si="548"/>
        <v>1.8333333333333335</v>
      </c>
      <c r="Q371" s="33">
        <f t="shared" si="549"/>
        <v>1.1440000000000001</v>
      </c>
      <c r="R371" s="33">
        <f t="shared" si="550"/>
        <v>1.1440000000000001</v>
      </c>
      <c r="S371" s="33">
        <f t="shared" si="551"/>
        <v>0</v>
      </c>
      <c r="T371" s="33">
        <f t="shared" si="552"/>
        <v>1.1440000000000001</v>
      </c>
      <c r="U371" s="33">
        <f t="shared" si="553"/>
        <v>0</v>
      </c>
      <c r="V371" s="33">
        <f t="shared" si="554"/>
        <v>1.1440000000000001</v>
      </c>
      <c r="W371" s="33">
        <f t="shared" si="555"/>
        <v>0</v>
      </c>
      <c r="X371" s="33"/>
      <c r="Y371" s="33"/>
      <c r="Z371" s="33"/>
      <c r="AA371" s="33"/>
    </row>
    <row r="372" spans="1:27" x14ac:dyDescent="0.25">
      <c r="A372" s="82">
        <f>'NELIOTA (p&lt;0.5)'!A414</f>
        <v>44502</v>
      </c>
      <c r="B372" s="58" t="str">
        <f>'NELIOTA (p&lt;0.5)'!B414</f>
        <v>05:35-06:20</v>
      </c>
      <c r="C372" s="59">
        <f>'NELIOTA (p&lt;0.5)'!C414</f>
        <v>0.10100000000000001</v>
      </c>
      <c r="D372" s="60" t="str">
        <f>'NELIOTA (p&lt;0.5)'!E414</f>
        <v>0</v>
      </c>
      <c r="E372" s="112" t="str">
        <f>'NELIOTA (p&lt;0.5)'!F414</f>
        <v>Cloudiness</v>
      </c>
      <c r="G372" s="8">
        <f>'NELIOTA (p&lt;0.5)'!H414</f>
        <v>0</v>
      </c>
      <c r="H372" s="8">
        <f>'NELIOTA (p&lt;0.5)'!I414</f>
        <v>100</v>
      </c>
      <c r="I372" s="8">
        <f>'NELIOTA (p&lt;0.5)'!J414</f>
        <v>0</v>
      </c>
      <c r="K372" s="98">
        <f>'NELIOTA (p&lt;0.5)'!M414</f>
        <v>0</v>
      </c>
      <c r="L372" s="93">
        <f t="shared" si="556"/>
        <v>0</v>
      </c>
      <c r="N372" s="11">
        <v>0</v>
      </c>
      <c r="O372" s="11">
        <v>45</v>
      </c>
      <c r="P372" s="9">
        <f t="shared" si="548"/>
        <v>0.75</v>
      </c>
      <c r="Q372" s="9">
        <f t="shared" si="549"/>
        <v>0.46799999999999997</v>
      </c>
      <c r="R372" s="9">
        <f t="shared" si="550"/>
        <v>0.46799999999999997</v>
      </c>
      <c r="S372" s="9">
        <f t="shared" si="551"/>
        <v>0</v>
      </c>
      <c r="T372" s="9">
        <f t="shared" si="552"/>
        <v>0.46799999999999997</v>
      </c>
      <c r="U372" s="9">
        <f t="shared" si="553"/>
        <v>0</v>
      </c>
      <c r="V372" s="9">
        <f t="shared" si="554"/>
        <v>0.46799999999999997</v>
      </c>
      <c r="W372" s="9">
        <f t="shared" si="555"/>
        <v>0</v>
      </c>
      <c r="X372" s="9"/>
      <c r="Y372" s="9"/>
      <c r="Z372" s="9"/>
      <c r="AA372" s="9"/>
    </row>
    <row r="373" spans="1:27" x14ac:dyDescent="0.25">
      <c r="A373" s="82">
        <f>'NELIOTA (p&lt;0.5)'!A415</f>
        <v>44509</v>
      </c>
      <c r="B373" s="58" t="str">
        <f>'NELIOTA (p&lt;0.5)'!B415</f>
        <v>17:50-18:55</v>
      </c>
      <c r="C373" s="59">
        <f>'NELIOTA (p&lt;0.5)'!C415</f>
        <v>0.30199999999999999</v>
      </c>
      <c r="D373" s="60" t="str">
        <f>'NELIOTA (p&lt;0.5)'!E415</f>
        <v>0</v>
      </c>
      <c r="E373" s="112" t="str">
        <f>'NELIOTA (p&lt;0.5)'!F415</f>
        <v>Cloudiness</v>
      </c>
      <c r="G373" s="8">
        <f>'NELIOTA (p&lt;0.5)'!H415</f>
        <v>0</v>
      </c>
      <c r="H373" s="8">
        <f>'NELIOTA (p&lt;0.5)'!I415</f>
        <v>100</v>
      </c>
      <c r="I373" s="8">
        <f>'NELIOTA (p&lt;0.5)'!J415</f>
        <v>0</v>
      </c>
      <c r="K373" s="98">
        <f>'NELIOTA (p&lt;0.5)'!M415</f>
        <v>0</v>
      </c>
      <c r="L373" s="93">
        <f t="shared" si="556"/>
        <v>0</v>
      </c>
      <c r="N373" s="11">
        <v>1</v>
      </c>
      <c r="O373" s="11">
        <v>5</v>
      </c>
      <c r="P373" s="9">
        <f t="shared" si="548"/>
        <v>1.0833333333333333</v>
      </c>
      <c r="Q373" s="9">
        <f t="shared" si="549"/>
        <v>0.67599999999999993</v>
      </c>
      <c r="R373" s="9">
        <f t="shared" si="550"/>
        <v>0.67599999999999993</v>
      </c>
      <c r="S373" s="9">
        <f t="shared" si="551"/>
        <v>0</v>
      </c>
      <c r="T373" s="9">
        <f t="shared" si="552"/>
        <v>0.67599999999999993</v>
      </c>
      <c r="U373" s="9">
        <f t="shared" si="553"/>
        <v>0</v>
      </c>
      <c r="V373" s="9">
        <f t="shared" si="554"/>
        <v>0.67599999999999993</v>
      </c>
      <c r="W373" s="9">
        <f t="shared" si="555"/>
        <v>0</v>
      </c>
      <c r="X373" s="9"/>
      <c r="Y373" s="9"/>
      <c r="Z373" s="9"/>
      <c r="AA373" s="9"/>
    </row>
    <row r="374" spans="1:27" x14ac:dyDescent="0.25">
      <c r="A374" s="82">
        <f>'NELIOTA (p&lt;0.5)'!A416</f>
        <v>44510</v>
      </c>
      <c r="B374" s="58" t="str">
        <f>'NELIOTA (p&lt;0.5)'!B416</f>
        <v>17:50-20:20</v>
      </c>
      <c r="C374" s="59">
        <f>'NELIOTA (p&lt;0.5)'!C416</f>
        <v>0.41699999999999998</v>
      </c>
      <c r="D374" s="60" t="str">
        <f>'NELIOTA (p&lt;0.5)'!E416</f>
        <v>0</v>
      </c>
      <c r="E374" s="112" t="str">
        <f>'NELIOTA (p&lt;0.5)'!F416</f>
        <v>Cloudiness</v>
      </c>
      <c r="G374" s="8">
        <f>'NELIOTA (p&lt;0.5)'!H416</f>
        <v>0</v>
      </c>
      <c r="H374" s="8">
        <f>'NELIOTA (p&lt;0.5)'!I416</f>
        <v>100</v>
      </c>
      <c r="I374" s="8">
        <f>'NELIOTA (p&lt;0.5)'!J416</f>
        <v>0</v>
      </c>
      <c r="K374" s="98">
        <f>'NELIOTA (p&lt;0.5)'!M416</f>
        <v>0</v>
      </c>
      <c r="L374" s="93">
        <f t="shared" si="556"/>
        <v>0</v>
      </c>
      <c r="N374" s="11">
        <v>2</v>
      </c>
      <c r="O374" s="11">
        <v>30</v>
      </c>
      <c r="P374" s="9">
        <f t="shared" si="548"/>
        <v>2.5</v>
      </c>
      <c r="Q374" s="9">
        <f t="shared" si="549"/>
        <v>1.56</v>
      </c>
      <c r="R374" s="9">
        <f t="shared" si="550"/>
        <v>1.56</v>
      </c>
      <c r="S374" s="9">
        <f t="shared" si="551"/>
        <v>0</v>
      </c>
      <c r="T374" s="9">
        <f t="shared" si="552"/>
        <v>1.56</v>
      </c>
      <c r="U374" s="9">
        <f t="shared" si="553"/>
        <v>0</v>
      </c>
      <c r="V374" s="9">
        <f t="shared" si="554"/>
        <v>1.56</v>
      </c>
      <c r="W374" s="9">
        <f t="shared" si="555"/>
        <v>0</v>
      </c>
      <c r="X374" s="9"/>
      <c r="Y374" s="9"/>
      <c r="Z374" s="9"/>
      <c r="AA374" s="9"/>
    </row>
    <row r="375" spans="1:27" x14ac:dyDescent="0.25">
      <c r="A375" s="82">
        <f>'NELIOTA (p&lt;0.5)'!A417</f>
        <v>44528</v>
      </c>
      <c r="B375" s="58" t="str">
        <f>'NELIOTA (p&lt;0.5)'!B417</f>
        <v>02:10-06:50</v>
      </c>
      <c r="C375" s="59">
        <f>'NELIOTA (p&lt;0.5)'!C417</f>
        <v>0.45100000000000001</v>
      </c>
      <c r="D375" s="60" t="str">
        <f>'NELIOTA (p&lt;0.5)'!E417</f>
        <v>0</v>
      </c>
      <c r="E375" s="112" t="str">
        <f>'NELIOTA (p&lt;0.5)'!F417</f>
        <v>moderate - bad</v>
      </c>
      <c r="G375" s="8">
        <f>'NELIOTA (p&lt;0.5)'!H417</f>
        <v>46</v>
      </c>
      <c r="H375" s="8">
        <f>'NELIOTA (p&lt;0.5)'!I417</f>
        <v>54</v>
      </c>
      <c r="I375" s="8">
        <f>'NELIOTA (p&lt;0.5)'!J417</f>
        <v>0</v>
      </c>
      <c r="K375" s="98">
        <f>'NELIOTA (p&lt;0.5)'!M417</f>
        <v>5561.29</v>
      </c>
      <c r="L375" s="93">
        <f t="shared" si="556"/>
        <v>1.5448027777777777</v>
      </c>
      <c r="N375" s="11">
        <v>4</v>
      </c>
      <c r="O375" s="11">
        <v>35</v>
      </c>
      <c r="P375" s="9">
        <f t="shared" si="548"/>
        <v>4.583333333333333</v>
      </c>
      <c r="Q375" s="9">
        <f t="shared" si="549"/>
        <v>2.86</v>
      </c>
      <c r="R375" s="9">
        <f t="shared" si="550"/>
        <v>2.86</v>
      </c>
      <c r="S375" s="9">
        <f t="shared" si="551"/>
        <v>54.014083139083141</v>
      </c>
      <c r="T375" s="9">
        <f t="shared" si="552"/>
        <v>2.86</v>
      </c>
      <c r="U375" s="9">
        <f t="shared" si="553"/>
        <v>1.5448027777777777</v>
      </c>
      <c r="V375" s="9">
        <f t="shared" si="554"/>
        <v>1.5444</v>
      </c>
      <c r="W375" s="9">
        <f t="shared" si="555"/>
        <v>0</v>
      </c>
      <c r="X375" s="9"/>
      <c r="Y375" s="9"/>
      <c r="Z375" s="9"/>
      <c r="AA375" s="9"/>
    </row>
    <row r="376" spans="1:27" x14ac:dyDescent="0.25">
      <c r="A376" s="82">
        <f>'NELIOTA (p&lt;0.5)'!A418</f>
        <v>44529</v>
      </c>
      <c r="B376" s="58" t="str">
        <f>'NELIOTA (p&lt;0.5)'!B418</f>
        <v>03:15-06:50</v>
      </c>
      <c r="C376" s="59">
        <f>'NELIOTA (p&lt;0.5)'!C418</f>
        <v>0.34200000000000003</v>
      </c>
      <c r="D376" s="60" t="str">
        <f>'NELIOTA (p&lt;0.5)'!E418</f>
        <v>0</v>
      </c>
      <c r="E376" s="112" t="str">
        <f>'NELIOTA (p&lt;0.5)'!F418</f>
        <v>Cloudiness</v>
      </c>
      <c r="G376" s="8">
        <f>'NELIOTA (p&lt;0.5)'!H418</f>
        <v>0</v>
      </c>
      <c r="H376" s="8">
        <f>'NELIOTA (p&lt;0.5)'!I418</f>
        <v>100</v>
      </c>
      <c r="I376" s="8">
        <f>'NELIOTA (p&lt;0.5)'!J418</f>
        <v>0</v>
      </c>
      <c r="K376" s="98">
        <f>'NELIOTA (p&lt;0.5)'!M418</f>
        <v>0</v>
      </c>
      <c r="L376" s="93">
        <f t="shared" ref="L376:L378" si="557">K376/3600</f>
        <v>0</v>
      </c>
      <c r="N376" s="11">
        <v>3</v>
      </c>
      <c r="O376" s="11">
        <v>35</v>
      </c>
      <c r="P376" s="9">
        <f t="shared" si="548"/>
        <v>3.5833333333333335</v>
      </c>
      <c r="Q376" s="9">
        <f t="shared" si="549"/>
        <v>2.2360000000000002</v>
      </c>
      <c r="R376" s="9">
        <f t="shared" si="550"/>
        <v>2.2360000000000002</v>
      </c>
      <c r="S376" s="9">
        <f t="shared" si="551"/>
        <v>0</v>
      </c>
      <c r="T376" s="9">
        <f t="shared" si="552"/>
        <v>2.2360000000000002</v>
      </c>
      <c r="U376" s="9">
        <f t="shared" si="553"/>
        <v>0</v>
      </c>
      <c r="V376" s="9">
        <f t="shared" si="554"/>
        <v>2.2360000000000002</v>
      </c>
      <c r="W376" s="9">
        <f t="shared" si="555"/>
        <v>0</v>
      </c>
      <c r="X376" s="9"/>
      <c r="Y376" s="9"/>
      <c r="Z376" s="9"/>
      <c r="AA376" s="9"/>
    </row>
    <row r="377" spans="1:27" x14ac:dyDescent="0.25">
      <c r="A377" s="82">
        <f>'NELIOTA (p&lt;0.5)'!A419</f>
        <v>44530</v>
      </c>
      <c r="B377" s="58" t="str">
        <f>'NELIOTA (p&lt;0.5)'!B419</f>
        <v>04:25-06:50</v>
      </c>
      <c r="C377" s="59">
        <f>'NELIOTA (p&lt;0.5)'!C419</f>
        <v>0.23699999999999999</v>
      </c>
      <c r="D377" s="60" t="str">
        <f>'NELIOTA (p&lt;0.5)'!E419</f>
        <v>0</v>
      </c>
      <c r="E377" s="112" t="str">
        <f>'NELIOTA (p&lt;0.5)'!F419</f>
        <v>Cloudiness</v>
      </c>
      <c r="G377" s="8">
        <f>'NELIOTA (p&lt;0.5)'!H419</f>
        <v>0</v>
      </c>
      <c r="H377" s="8">
        <f>'NELIOTA (p&lt;0.5)'!I419</f>
        <v>100</v>
      </c>
      <c r="I377" s="8">
        <f>'NELIOTA (p&lt;0.5)'!J419</f>
        <v>0</v>
      </c>
      <c r="K377" s="98">
        <f>'NELIOTA (p&lt;0.5)'!M419</f>
        <v>0</v>
      </c>
      <c r="L377" s="93">
        <f t="shared" si="557"/>
        <v>0</v>
      </c>
      <c r="N377" s="11">
        <v>2</v>
      </c>
      <c r="O377" s="11">
        <v>25</v>
      </c>
      <c r="P377" s="9">
        <f t="shared" si="548"/>
        <v>2.4166666666666665</v>
      </c>
      <c r="Q377" s="9">
        <f t="shared" si="549"/>
        <v>1.508</v>
      </c>
      <c r="R377" s="9">
        <f t="shared" si="550"/>
        <v>1.508</v>
      </c>
      <c r="S377" s="9">
        <f t="shared" si="551"/>
        <v>0</v>
      </c>
      <c r="T377" s="9">
        <f t="shared" si="552"/>
        <v>1.508</v>
      </c>
      <c r="U377" s="9">
        <f t="shared" si="553"/>
        <v>0</v>
      </c>
      <c r="V377" s="9">
        <f t="shared" si="554"/>
        <v>1.508</v>
      </c>
      <c r="W377" s="9">
        <f t="shared" si="555"/>
        <v>0</v>
      </c>
      <c r="X377" s="9">
        <f>SUM(U371:U377)</f>
        <v>1.5448027777777777</v>
      </c>
      <c r="Y377" s="9">
        <f>100*X377/SUM(T371:T377)</f>
        <v>14.779972998256579</v>
      </c>
      <c r="Z377" s="9">
        <f>100*SUM(V371:V377)/SUM(T371:T377)</f>
        <v>87.412935323383095</v>
      </c>
      <c r="AA377" s="9">
        <f>100*SUM(W371:W377)/SUM(T371:T377)</f>
        <v>0</v>
      </c>
    </row>
    <row r="378" spans="1:27" s="48" customFormat="1" x14ac:dyDescent="0.25">
      <c r="A378" s="94">
        <f>'NELIOTA (p&lt;0.5)'!A420</f>
        <v>44531</v>
      </c>
      <c r="B378" s="62" t="str">
        <f>'NELIOTA (p&lt;0.5)'!B420</f>
        <v>05:35-06:50</v>
      </c>
      <c r="C378" s="63">
        <f>'NELIOTA (p&lt;0.5)'!C420</f>
        <v>0.14199999999999999</v>
      </c>
      <c r="D378" s="64" t="str">
        <f>'NELIOTA (p&lt;0.5)'!E420</f>
        <v>1 susp</v>
      </c>
      <c r="E378" s="119" t="str">
        <f>'NELIOTA (p&lt;0.5)'!F420</f>
        <v>moderate</v>
      </c>
      <c r="G378" s="24">
        <f>'NELIOTA (p&lt;0.5)'!H420</f>
        <v>100</v>
      </c>
      <c r="H378" s="24">
        <f>'NELIOTA (p&lt;0.5)'!I420</f>
        <v>0</v>
      </c>
      <c r="I378" s="24">
        <f>'NELIOTA (p&lt;0.5)'!J420</f>
        <v>0</v>
      </c>
      <c r="K378" s="101">
        <f>'NELIOTA (p&lt;0.5)'!M420</f>
        <v>3525.74</v>
      </c>
      <c r="L378" s="92">
        <f t="shared" si="557"/>
        <v>0.9793722222222222</v>
      </c>
      <c r="N378" s="47">
        <v>1</v>
      </c>
      <c r="O378" s="47">
        <v>15</v>
      </c>
      <c r="P378" s="33">
        <f t="shared" si="548"/>
        <v>1.25</v>
      </c>
      <c r="Q378" s="33">
        <f t="shared" si="549"/>
        <v>0.78</v>
      </c>
      <c r="R378" s="33">
        <f t="shared" si="550"/>
        <v>0.9793722222222222</v>
      </c>
      <c r="S378" s="33">
        <f t="shared" si="551"/>
        <v>125.5605413105413</v>
      </c>
      <c r="T378" s="33">
        <f t="shared" si="552"/>
        <v>0.9793722222222222</v>
      </c>
      <c r="U378" s="33">
        <f t="shared" si="553"/>
        <v>0.9793722222222222</v>
      </c>
      <c r="V378" s="33">
        <f t="shared" si="554"/>
        <v>0</v>
      </c>
      <c r="W378" s="33">
        <f t="shared" si="555"/>
        <v>0</v>
      </c>
    </row>
    <row r="379" spans="1:27" x14ac:dyDescent="0.25">
      <c r="A379" s="82">
        <f>'NELIOTA (p&lt;0.5)'!A421</f>
        <v>44537</v>
      </c>
      <c r="B379" s="58" t="str">
        <f>'NELIOTA (p&lt;0.5)'!B421</f>
        <v>17:35-17:55</v>
      </c>
      <c r="C379" s="59">
        <f>'NELIOTA (p&lt;0.5)'!C421</f>
        <v>0.157</v>
      </c>
      <c r="D379" s="60" t="str">
        <f>'NELIOTA (p&lt;0.5)'!E421</f>
        <v>0</v>
      </c>
      <c r="E379" s="112" t="str">
        <f>'NELIOTA (p&lt;0.5)'!F421</f>
        <v>Cloudiness</v>
      </c>
      <c r="G379" s="8">
        <f>'NELIOTA (p&lt;0.5)'!H421</f>
        <v>0</v>
      </c>
      <c r="H379" s="8">
        <f>'NELIOTA (p&lt;0.5)'!I421</f>
        <v>100</v>
      </c>
      <c r="I379" s="8">
        <f>'NELIOTA (p&lt;0.5)'!J421</f>
        <v>0</v>
      </c>
      <c r="K379" s="98">
        <f>'NELIOTA (p&lt;0.5)'!M421</f>
        <v>0</v>
      </c>
      <c r="L379" s="93">
        <f t="shared" ref="L379:L381" si="558">K379/3600</f>
        <v>0</v>
      </c>
      <c r="N379" s="11">
        <v>0</v>
      </c>
      <c r="O379" s="11">
        <v>20</v>
      </c>
      <c r="P379" s="9">
        <f t="shared" ref="P379:P381" si="559">N379+O379/60</f>
        <v>0.33333333333333331</v>
      </c>
      <c r="Q379" s="9">
        <f t="shared" ref="Q379:Q381" si="560">P379*62.4%</f>
        <v>0.20799999999999999</v>
      </c>
      <c r="R379" s="9">
        <f t="shared" ref="R379:R381" si="561">IF(G379=100,L379,Q379)</f>
        <v>0.20799999999999999</v>
      </c>
      <c r="S379" s="9">
        <f t="shared" ref="S379:S381" si="562">100*L379/Q379</f>
        <v>0</v>
      </c>
      <c r="T379" s="9">
        <f t="shared" ref="T379:T381" si="563">R379</f>
        <v>0.20799999999999999</v>
      </c>
      <c r="U379" s="9">
        <f t="shared" ref="U379:U381" si="564">L379</f>
        <v>0</v>
      </c>
      <c r="V379" s="9">
        <f t="shared" ref="V379:V381" si="565">T379*H379%</f>
        <v>0.20799999999999999</v>
      </c>
      <c r="W379" s="9">
        <f t="shared" ref="W379:W381" si="566">T379*I379%</f>
        <v>0</v>
      </c>
    </row>
    <row r="380" spans="1:27" x14ac:dyDescent="0.25">
      <c r="A380" s="82">
        <f>'NELIOTA (p&lt;0.5)'!A422</f>
        <v>44538</v>
      </c>
      <c r="B380" s="58" t="str">
        <f>'NELIOTA (p&lt;0.5)'!B422</f>
        <v>17:35-19:25</v>
      </c>
      <c r="C380" s="59">
        <f>'NELIOTA (p&lt;0.5)'!C422</f>
        <v>0.25600000000000001</v>
      </c>
      <c r="D380" s="60" t="str">
        <f>'NELIOTA (p&lt;0.5)'!E422</f>
        <v>2 val</v>
      </c>
      <c r="E380" s="112" t="str">
        <f>'NELIOTA (p&lt;0.5)'!F422</f>
        <v>moderate</v>
      </c>
      <c r="G380" s="8">
        <f>'NELIOTA (p&lt;0.5)'!H422</f>
        <v>100</v>
      </c>
      <c r="H380" s="8">
        <f>'NELIOTA (p&lt;0.5)'!I422</f>
        <v>0</v>
      </c>
      <c r="I380" s="8">
        <f>'NELIOTA (p&lt;0.5)'!J422</f>
        <v>0</v>
      </c>
      <c r="K380" s="98">
        <f>'NELIOTA (p&lt;0.5)'!M422</f>
        <v>4166.54</v>
      </c>
      <c r="L380" s="93">
        <f t="shared" si="558"/>
        <v>1.1573722222222222</v>
      </c>
      <c r="N380" s="11">
        <v>1</v>
      </c>
      <c r="O380" s="11">
        <v>51.29</v>
      </c>
      <c r="P380" s="9">
        <f t="shared" si="559"/>
        <v>1.8548333333333333</v>
      </c>
      <c r="Q380" s="9">
        <f t="shared" si="560"/>
        <v>1.157416</v>
      </c>
      <c r="R380" s="9">
        <f t="shared" si="561"/>
        <v>1.1573722222222222</v>
      </c>
      <c r="S380" s="9">
        <f t="shared" si="562"/>
        <v>99.996217628080331</v>
      </c>
      <c r="T380" s="9">
        <f t="shared" si="563"/>
        <v>1.1573722222222222</v>
      </c>
      <c r="U380" s="9">
        <f t="shared" si="564"/>
        <v>1.1573722222222222</v>
      </c>
      <c r="V380" s="9">
        <f t="shared" si="565"/>
        <v>0</v>
      </c>
      <c r="W380" s="9">
        <f t="shared" si="566"/>
        <v>0</v>
      </c>
    </row>
    <row r="381" spans="1:27" x14ac:dyDescent="0.25">
      <c r="A381" s="82">
        <f>'NELIOTA (p&lt;0.5)'!A423</f>
        <v>44539</v>
      </c>
      <c r="B381" s="58" t="str">
        <f>'NELIOTA (p&lt;0.5)'!B423</f>
        <v>17:35-20:45</v>
      </c>
      <c r="C381" s="59">
        <f>'NELIOTA (p&lt;0.5)'!C423</f>
        <v>0.36499999999999999</v>
      </c>
      <c r="D381" s="60" t="str">
        <f>'NELIOTA (p&lt;0.5)'!E423</f>
        <v>0</v>
      </c>
      <c r="E381" s="112" t="str">
        <f>'NELIOTA (p&lt;0.5)'!F423</f>
        <v>moderate - bad</v>
      </c>
      <c r="G381" s="8">
        <f>'NELIOTA (p&lt;0.5)'!H423</f>
        <v>12</v>
      </c>
      <c r="H381" s="8">
        <f>'NELIOTA (p&lt;0.5)'!I423</f>
        <v>88</v>
      </c>
      <c r="I381" s="8">
        <f>'NELIOTA (p&lt;0.5)'!J423</f>
        <v>0</v>
      </c>
      <c r="K381" s="98">
        <f>'NELIOTA (p&lt;0.5)'!M423</f>
        <v>1000.937</v>
      </c>
      <c r="L381" s="93">
        <f t="shared" si="558"/>
        <v>0.27803805555555555</v>
      </c>
      <c r="N381" s="11">
        <v>3</v>
      </c>
      <c r="O381" s="11">
        <v>42.7</v>
      </c>
      <c r="P381" s="9">
        <f t="shared" si="559"/>
        <v>3.7116666666666669</v>
      </c>
      <c r="Q381" s="9">
        <f t="shared" si="560"/>
        <v>2.3160799999999999</v>
      </c>
      <c r="R381" s="9">
        <f t="shared" si="561"/>
        <v>2.3160799999999999</v>
      </c>
      <c r="S381" s="9">
        <f t="shared" si="562"/>
        <v>12.004682720612223</v>
      </c>
      <c r="T381" s="9">
        <f t="shared" si="563"/>
        <v>2.3160799999999999</v>
      </c>
      <c r="U381" s="9">
        <f t="shared" si="564"/>
        <v>0.27803805555555555</v>
      </c>
      <c r="V381" s="9">
        <f t="shared" si="565"/>
        <v>2.0381504000000001</v>
      </c>
      <c r="W381" s="9">
        <f t="shared" si="566"/>
        <v>0</v>
      </c>
      <c r="X381" s="9"/>
      <c r="Y381" s="9"/>
      <c r="Z381" s="9"/>
      <c r="AA381" s="9"/>
    </row>
    <row r="382" spans="1:27" x14ac:dyDescent="0.25">
      <c r="A382" s="82">
        <f>'NELIOTA (p&lt;0.5)'!A424</f>
        <v>44558</v>
      </c>
      <c r="B382" s="58" t="str">
        <f>'NELIOTA (p&lt;0.5)'!B424</f>
        <v>03:15-07:10</v>
      </c>
      <c r="C382" s="59">
        <f>'NELIOTA (p&lt;0.5)'!C424</f>
        <v>0.39600000000000002</v>
      </c>
      <c r="D382" s="60" t="str">
        <f>'NELIOTA (p&lt;0.5)'!E424</f>
        <v>0</v>
      </c>
      <c r="E382" s="112" t="str">
        <f>'NELIOTA (p&lt;0.5)'!F424</f>
        <v>Cloudiness</v>
      </c>
      <c r="G382" s="8">
        <f>'NELIOTA (p&lt;0.5)'!H424</f>
        <v>0</v>
      </c>
      <c r="H382" s="8">
        <f>'NELIOTA (p&lt;0.5)'!I424</f>
        <v>100</v>
      </c>
      <c r="I382" s="8">
        <f>'NELIOTA (p&lt;0.5)'!J424</f>
        <v>0</v>
      </c>
      <c r="K382" s="98">
        <f>'NELIOTA (p&lt;0.5)'!M424</f>
        <v>0</v>
      </c>
      <c r="L382" s="93">
        <f t="shared" ref="L382:L385" si="567">K382/3600</f>
        <v>0</v>
      </c>
      <c r="N382" s="11">
        <v>3</v>
      </c>
      <c r="O382" s="11">
        <v>55</v>
      </c>
      <c r="P382" s="9">
        <f t="shared" ref="P382:P385" si="568">N382+O382/60</f>
        <v>3.9166666666666665</v>
      </c>
      <c r="Q382" s="9">
        <f t="shared" ref="Q382:Q385" si="569">P382*62.4%</f>
        <v>2.444</v>
      </c>
      <c r="R382" s="9">
        <f t="shared" ref="R382:R385" si="570">IF(G382=100,L382,Q382)</f>
        <v>2.444</v>
      </c>
      <c r="S382" s="9">
        <f t="shared" ref="S382:S385" si="571">100*L382/Q382</f>
        <v>0</v>
      </c>
      <c r="T382" s="9">
        <f t="shared" ref="T382:T385" si="572">R382</f>
        <v>2.444</v>
      </c>
      <c r="U382" s="9">
        <f t="shared" ref="U382:U385" si="573">L382</f>
        <v>0</v>
      </c>
      <c r="V382" s="9">
        <f t="shared" ref="V382:V385" si="574">T382*H382%</f>
        <v>2.444</v>
      </c>
      <c r="W382" s="9">
        <f t="shared" ref="W382:W385" si="575">T382*I382%</f>
        <v>0</v>
      </c>
    </row>
    <row r="383" spans="1:27" x14ac:dyDescent="0.25">
      <c r="A383" s="82">
        <f>'NELIOTA (p&lt;0.5)'!A425</f>
        <v>44559</v>
      </c>
      <c r="B383" s="58" t="str">
        <f>'NELIOTA (p&lt;0.5)'!B425</f>
        <v>04:30-07:10</v>
      </c>
      <c r="C383" s="59">
        <f>'NELIOTA (p&lt;0.5)'!C425</f>
        <v>0.28499999999999998</v>
      </c>
      <c r="D383" s="60" t="str">
        <f>'NELIOTA (p&lt;0.5)'!E425</f>
        <v>0</v>
      </c>
      <c r="E383" s="112" t="str">
        <f>'NELIOTA (p&lt;0.5)'!F425</f>
        <v>Cloudiness</v>
      </c>
      <c r="G383" s="8">
        <f>'NELIOTA (p&lt;0.5)'!H425</f>
        <v>0</v>
      </c>
      <c r="H383" s="8">
        <f>'NELIOTA (p&lt;0.5)'!I425</f>
        <v>100</v>
      </c>
      <c r="I383" s="8">
        <f>'NELIOTA (p&lt;0.5)'!J425</f>
        <v>0</v>
      </c>
      <c r="K383" s="98">
        <f>'NELIOTA (p&lt;0.5)'!M425</f>
        <v>0</v>
      </c>
      <c r="L383" s="93">
        <f t="shared" si="567"/>
        <v>0</v>
      </c>
      <c r="N383" s="11">
        <v>2</v>
      </c>
      <c r="O383" s="11">
        <v>40</v>
      </c>
      <c r="P383" s="9">
        <f t="shared" si="568"/>
        <v>2.6666666666666665</v>
      </c>
      <c r="Q383" s="9">
        <f t="shared" si="569"/>
        <v>1.6639999999999999</v>
      </c>
      <c r="R383" s="9">
        <f t="shared" si="570"/>
        <v>1.6639999999999999</v>
      </c>
      <c r="S383" s="9">
        <f t="shared" si="571"/>
        <v>0</v>
      </c>
      <c r="T383" s="9">
        <f t="shared" si="572"/>
        <v>1.6639999999999999</v>
      </c>
      <c r="U383" s="9">
        <f t="shared" si="573"/>
        <v>0</v>
      </c>
      <c r="V383" s="9">
        <f t="shared" si="574"/>
        <v>1.6639999999999999</v>
      </c>
      <c r="W383" s="9">
        <f t="shared" si="575"/>
        <v>0</v>
      </c>
    </row>
    <row r="384" spans="1:27" x14ac:dyDescent="0.25">
      <c r="A384" s="82">
        <f>'NELIOTA (p&lt;0.5)'!A426</f>
        <v>44560</v>
      </c>
      <c r="B384" s="58" t="str">
        <f>'NELIOTA (p&lt;0.5)'!B426</f>
        <v>05:55-07:10</v>
      </c>
      <c r="C384" s="59">
        <f>'NELIOTA (p&lt;0.5)'!C426</f>
        <v>0.18</v>
      </c>
      <c r="D384" s="60" t="str">
        <f>'NELIOTA (p&lt;0.5)'!E426</f>
        <v>0</v>
      </c>
      <c r="E384" s="112" t="str">
        <f>'NELIOTA (p&lt;0.5)'!F426</f>
        <v>Cloudiness</v>
      </c>
      <c r="G384" s="8">
        <f>'NELIOTA (p&lt;0.5)'!H426</f>
        <v>0</v>
      </c>
      <c r="H384" s="8">
        <f>'NELIOTA (p&lt;0.5)'!I426</f>
        <v>100</v>
      </c>
      <c r="I384" s="8">
        <f>'NELIOTA (p&lt;0.5)'!J426</f>
        <v>0</v>
      </c>
      <c r="K384" s="98">
        <f>'NELIOTA (p&lt;0.5)'!M426</f>
        <v>0</v>
      </c>
      <c r="L384" s="93">
        <f t="shared" si="567"/>
        <v>0</v>
      </c>
      <c r="N384" s="11">
        <v>1</v>
      </c>
      <c r="O384" s="11">
        <v>15</v>
      </c>
      <c r="P384" s="9">
        <f t="shared" si="568"/>
        <v>1.25</v>
      </c>
      <c r="Q384" s="9">
        <f t="shared" si="569"/>
        <v>0.78</v>
      </c>
      <c r="R384" s="9">
        <f t="shared" si="570"/>
        <v>0.78</v>
      </c>
      <c r="S384" s="9">
        <f t="shared" si="571"/>
        <v>0</v>
      </c>
      <c r="T384" s="9">
        <f t="shared" si="572"/>
        <v>0.78</v>
      </c>
      <c r="U384" s="9">
        <f t="shared" si="573"/>
        <v>0</v>
      </c>
      <c r="V384" s="9">
        <f t="shared" si="574"/>
        <v>0.78</v>
      </c>
      <c r="W384" s="9">
        <f t="shared" si="575"/>
        <v>0</v>
      </c>
      <c r="X384" s="9">
        <f>SUM(U378:U384)</f>
        <v>2.4147825000000003</v>
      </c>
      <c r="Y384" s="9">
        <f>100*X384/SUM(T378:T384)</f>
        <v>25.288793547827069</v>
      </c>
      <c r="Z384" s="9">
        <f>100*SUM(V378:V384)/SUM(T378:T384)</f>
        <v>74.712342252251645</v>
      </c>
      <c r="AA384" s="9">
        <f>100*SUM(W378:W384)/SUM(T378:T384)</f>
        <v>0</v>
      </c>
    </row>
    <row r="385" spans="1:27" s="48" customFormat="1" x14ac:dyDescent="0.25">
      <c r="A385" s="94">
        <f>'NELIOTA (p&lt;0.5)'!A428</f>
        <v>44566</v>
      </c>
      <c r="B385" s="62" t="str">
        <f>'NELIOTA (p&lt;0.5)'!B428</f>
        <v>17:50-18:20</v>
      </c>
      <c r="C385" s="63">
        <f>'NELIOTA (p&lt;0.5)'!C428</f>
        <v>0.11700000000000001</v>
      </c>
      <c r="D385" s="172">
        <f>'NELIOTA (p&lt;0.5)'!D428</f>
        <v>100</v>
      </c>
      <c r="E385" s="172" t="str">
        <f>'NELIOTA (p&lt;0.5)'!F428</f>
        <v>moderate</v>
      </c>
      <c r="F385" s="62"/>
      <c r="G385" s="24">
        <f>'NELIOTA (p&lt;0.5)'!H428</f>
        <v>100</v>
      </c>
      <c r="H385" s="24">
        <f>'NELIOTA (p&lt;0.5)'!I428</f>
        <v>0</v>
      </c>
      <c r="I385" s="24">
        <f>'NELIOTA (p&lt;0.5)'!J428</f>
        <v>0</v>
      </c>
      <c r="J385" s="94"/>
      <c r="K385" s="100">
        <f>'NELIOTA (p&lt;0.5)'!M428</f>
        <v>1372.57</v>
      </c>
      <c r="L385" s="92">
        <f t="shared" si="567"/>
        <v>0.38126944444444444</v>
      </c>
      <c r="N385" s="47">
        <v>0</v>
      </c>
      <c r="O385" s="47">
        <v>36.659999999999997</v>
      </c>
      <c r="P385" s="33">
        <f t="shared" si="568"/>
        <v>0.61099999999999999</v>
      </c>
      <c r="Q385" s="33">
        <f t="shared" si="569"/>
        <v>0.38126399999999999</v>
      </c>
      <c r="R385" s="33">
        <f t="shared" si="570"/>
        <v>0.38126944444444444</v>
      </c>
      <c r="S385" s="33">
        <f t="shared" si="571"/>
        <v>100.00142799856386</v>
      </c>
      <c r="T385" s="33">
        <f t="shared" si="572"/>
        <v>0.38126944444444444</v>
      </c>
      <c r="U385" s="33">
        <f t="shared" si="573"/>
        <v>0.38126944444444444</v>
      </c>
      <c r="V385" s="33">
        <f t="shared" si="574"/>
        <v>0</v>
      </c>
      <c r="W385" s="33">
        <f t="shared" si="575"/>
        <v>0</v>
      </c>
      <c r="X385" s="33"/>
      <c r="Y385" s="33"/>
      <c r="Z385" s="33"/>
      <c r="AA385" s="33"/>
    </row>
    <row r="386" spans="1:27" x14ac:dyDescent="0.25">
      <c r="A386" s="82">
        <f>'NELIOTA (p&lt;0.5)'!A429</f>
        <v>44567</v>
      </c>
      <c r="B386" s="58" t="str">
        <f>'NELIOTA (p&lt;0.5)'!B429</f>
        <v>17:50-19:40</v>
      </c>
      <c r="C386" s="59">
        <f>'NELIOTA (p&lt;0.5)'!C429</f>
        <v>0.20399999999999999</v>
      </c>
      <c r="D386" s="120">
        <f>'NELIOTA (p&lt;0.5)'!D429</f>
        <v>0</v>
      </c>
      <c r="E386" s="120" t="str">
        <f>'NELIOTA (p&lt;0.5)'!F429</f>
        <v>Cloudiness</v>
      </c>
      <c r="F386" s="58"/>
      <c r="G386" s="8">
        <f>'NELIOTA (p&lt;0.5)'!H429</f>
        <v>0</v>
      </c>
      <c r="H386" s="8">
        <f>'NELIOTA (p&lt;0.5)'!I429</f>
        <v>100</v>
      </c>
      <c r="I386" s="8">
        <f>'NELIOTA (p&lt;0.5)'!J429</f>
        <v>0</v>
      </c>
      <c r="J386" s="82"/>
      <c r="K386" s="102">
        <f>'NELIOTA (p&lt;0.5)'!M429</f>
        <v>0</v>
      </c>
      <c r="L386" s="93">
        <f t="shared" ref="L386:L391" si="576">K386/3600</f>
        <v>0</v>
      </c>
      <c r="N386" s="11">
        <v>1</v>
      </c>
      <c r="O386" s="11">
        <v>50</v>
      </c>
      <c r="P386" s="9">
        <f t="shared" ref="P386:P391" si="577">N386+O386/60</f>
        <v>1.8333333333333335</v>
      </c>
      <c r="Q386" s="9">
        <f t="shared" ref="Q386:Q391" si="578">P386*62.4%</f>
        <v>1.1440000000000001</v>
      </c>
      <c r="R386" s="9">
        <f t="shared" ref="R386:R391" si="579">IF(G386=100,L386,Q386)</f>
        <v>1.1440000000000001</v>
      </c>
      <c r="S386" s="9">
        <f t="shared" ref="S386:S391" si="580">100*L386/Q386</f>
        <v>0</v>
      </c>
      <c r="T386" s="9">
        <f t="shared" ref="T386:T391" si="581">R386</f>
        <v>1.1440000000000001</v>
      </c>
      <c r="U386" s="9">
        <f t="shared" ref="U386:U391" si="582">L386</f>
        <v>0</v>
      </c>
      <c r="V386" s="9">
        <f t="shared" ref="V386:V391" si="583">T386*H386%</f>
        <v>1.1440000000000001</v>
      </c>
      <c r="W386" s="9">
        <f t="shared" ref="W386:W391" si="584">T386*I386%</f>
        <v>0</v>
      </c>
      <c r="X386" s="9"/>
      <c r="Y386" s="9"/>
      <c r="Z386" s="9"/>
      <c r="AA386" s="9"/>
    </row>
    <row r="387" spans="1:27" x14ac:dyDescent="0.25">
      <c r="A387" s="82">
        <f>'NELIOTA (p&lt;0.5)'!A430</f>
        <v>44568</v>
      </c>
      <c r="B387" s="58" t="str">
        <f>'NELIOTA (p&lt;0.5)'!B430</f>
        <v>17:50-20:55</v>
      </c>
      <c r="C387" s="59">
        <f>'NELIOTA (p&lt;0.5)'!C430</f>
        <v>0.30399999999999999</v>
      </c>
      <c r="D387" s="120">
        <f>'NELIOTA (p&lt;0.5)'!D430</f>
        <v>0</v>
      </c>
      <c r="E387" s="120" t="str">
        <f>'NELIOTA (p&lt;0.5)'!F430</f>
        <v>Cloudiness</v>
      </c>
      <c r="F387" s="58"/>
      <c r="G387" s="8">
        <f>'NELIOTA (p&lt;0.5)'!H430</f>
        <v>0</v>
      </c>
      <c r="H387" s="8">
        <f>'NELIOTA (p&lt;0.5)'!I430</f>
        <v>100</v>
      </c>
      <c r="I387" s="8">
        <f>'NELIOTA (p&lt;0.5)'!J430</f>
        <v>0</v>
      </c>
      <c r="J387" s="82"/>
      <c r="K387" s="102">
        <f>'NELIOTA (p&lt;0.5)'!M430</f>
        <v>0</v>
      </c>
      <c r="L387" s="93">
        <f t="shared" si="576"/>
        <v>0</v>
      </c>
      <c r="N387" s="11">
        <v>3</v>
      </c>
      <c r="O387" s="11">
        <v>5</v>
      </c>
      <c r="P387" s="9">
        <f t="shared" si="577"/>
        <v>3.0833333333333335</v>
      </c>
      <c r="Q387" s="9">
        <f t="shared" si="578"/>
        <v>1.9240000000000002</v>
      </c>
      <c r="R387" s="9">
        <f t="shared" si="579"/>
        <v>1.9240000000000002</v>
      </c>
      <c r="S387" s="9">
        <f t="shared" si="580"/>
        <v>0</v>
      </c>
      <c r="T387" s="9">
        <f t="shared" si="581"/>
        <v>1.9240000000000002</v>
      </c>
      <c r="U387" s="9">
        <f t="shared" si="582"/>
        <v>0</v>
      </c>
      <c r="V387" s="9">
        <f t="shared" si="583"/>
        <v>1.9240000000000002</v>
      </c>
      <c r="W387" s="9">
        <f t="shared" si="584"/>
        <v>0</v>
      </c>
      <c r="X387" s="9"/>
      <c r="Y387" s="9"/>
      <c r="Z387" s="9"/>
      <c r="AA387" s="9"/>
    </row>
    <row r="388" spans="1:27" x14ac:dyDescent="0.25">
      <c r="A388" s="82">
        <f>'NELIOTA (p&lt;0.5)'!A431</f>
        <v>44569</v>
      </c>
      <c r="B388" s="58" t="str">
        <f>'NELIOTA (p&lt;0.5)'!B431</f>
        <v>17:50-22:00</v>
      </c>
      <c r="C388" s="59">
        <f>'NELIOTA (p&lt;0.5)'!C431</f>
        <v>0.40799999999999997</v>
      </c>
      <c r="D388" s="120">
        <f>'NELIOTA (p&lt;0.5)'!D431</f>
        <v>0</v>
      </c>
      <c r="E388" s="120" t="str">
        <f>'NELIOTA (p&lt;0.5)'!F431</f>
        <v>Cloudiness</v>
      </c>
      <c r="F388" s="58"/>
      <c r="G388" s="8">
        <f>'NELIOTA (p&lt;0.5)'!H431</f>
        <v>0</v>
      </c>
      <c r="H388" s="8">
        <f>'NELIOTA (p&lt;0.5)'!I431</f>
        <v>100</v>
      </c>
      <c r="I388" s="8">
        <f>'NELIOTA (p&lt;0.5)'!J431</f>
        <v>0</v>
      </c>
      <c r="J388" s="82"/>
      <c r="K388" s="102">
        <f>'NELIOTA (p&lt;0.5)'!M431</f>
        <v>0</v>
      </c>
      <c r="L388" s="93">
        <f t="shared" si="576"/>
        <v>0</v>
      </c>
      <c r="N388" s="11">
        <v>4</v>
      </c>
      <c r="O388" s="11">
        <v>10</v>
      </c>
      <c r="P388" s="9">
        <f t="shared" si="577"/>
        <v>4.166666666666667</v>
      </c>
      <c r="Q388" s="9">
        <f t="shared" si="578"/>
        <v>2.6</v>
      </c>
      <c r="R388" s="9">
        <f t="shared" si="579"/>
        <v>2.6</v>
      </c>
      <c r="S388" s="9">
        <f t="shared" si="580"/>
        <v>0</v>
      </c>
      <c r="T388" s="9">
        <f t="shared" si="581"/>
        <v>2.6</v>
      </c>
      <c r="U388" s="9">
        <f t="shared" si="582"/>
        <v>0</v>
      </c>
      <c r="V388" s="9">
        <f t="shared" si="583"/>
        <v>2.6</v>
      </c>
      <c r="W388" s="9">
        <f t="shared" si="584"/>
        <v>0</v>
      </c>
      <c r="X388" s="9"/>
      <c r="Y388" s="9"/>
      <c r="Z388" s="9"/>
      <c r="AA388" s="9"/>
    </row>
    <row r="389" spans="1:27" x14ac:dyDescent="0.25">
      <c r="A389" s="82">
        <f>'NELIOTA (p&lt;0.5)'!A432</f>
        <v>44587</v>
      </c>
      <c r="B389" s="58" t="str">
        <f>'NELIOTA (p&lt;0.5)'!B432</f>
        <v>03:35-07:10</v>
      </c>
      <c r="C389" s="59">
        <f>'NELIOTA (p&lt;0.5)'!C432</f>
        <v>0.44600000000000001</v>
      </c>
      <c r="D389" s="120">
        <f>'NELIOTA (p&lt;0.5)'!D432</f>
        <v>0</v>
      </c>
      <c r="E389" s="120" t="str">
        <f>'NELIOTA (p&lt;0.5)'!F432</f>
        <v>good</v>
      </c>
      <c r="F389" s="58"/>
      <c r="G389" s="8">
        <f>'NELIOTA (p&lt;0.5)'!H432</f>
        <v>0</v>
      </c>
      <c r="H389" s="8">
        <f>'NELIOTA (p&lt;0.5)'!I432</f>
        <v>100</v>
      </c>
      <c r="I389" s="8">
        <f>'NELIOTA (p&lt;0.5)'!J432</f>
        <v>0</v>
      </c>
      <c r="J389" s="82"/>
      <c r="K389" s="102">
        <f>'NELIOTA (p&lt;0.5)'!M432</f>
        <v>0</v>
      </c>
      <c r="L389" s="93">
        <f t="shared" si="576"/>
        <v>0</v>
      </c>
      <c r="N389" s="11">
        <v>3</v>
      </c>
      <c r="O389" s="11">
        <v>5</v>
      </c>
      <c r="P389" s="9">
        <f t="shared" si="577"/>
        <v>3.0833333333333335</v>
      </c>
      <c r="Q389" s="9">
        <f t="shared" si="578"/>
        <v>1.9240000000000002</v>
      </c>
      <c r="R389" s="9">
        <f t="shared" si="579"/>
        <v>1.9240000000000002</v>
      </c>
      <c r="S389" s="9">
        <f t="shared" si="580"/>
        <v>0</v>
      </c>
      <c r="T389" s="9">
        <f t="shared" si="581"/>
        <v>1.9240000000000002</v>
      </c>
      <c r="U389" s="9">
        <f t="shared" si="582"/>
        <v>0</v>
      </c>
      <c r="V389" s="9">
        <f t="shared" si="583"/>
        <v>1.9240000000000002</v>
      </c>
      <c r="W389" s="9">
        <f t="shared" si="584"/>
        <v>0</v>
      </c>
      <c r="X389" s="9"/>
      <c r="Y389" s="9"/>
      <c r="Z389" s="9"/>
      <c r="AA389" s="9"/>
    </row>
    <row r="390" spans="1:27" x14ac:dyDescent="0.25">
      <c r="A390" s="82">
        <f>'NELIOTA (p&lt;0.5)'!A433</f>
        <v>44588</v>
      </c>
      <c r="B390" s="58" t="str">
        <f>'NELIOTA (p&lt;0.5)'!B433</f>
        <v>04:55-07:10</v>
      </c>
      <c r="C390" s="59">
        <f>'NELIOTA (p&lt;0.5)'!C433</f>
        <v>0.32700000000000001</v>
      </c>
      <c r="D390" s="120">
        <f>'NELIOTA (p&lt;0.5)'!D433</f>
        <v>0</v>
      </c>
      <c r="E390" s="120" t="str">
        <f>'NELIOTA (p&lt;0.5)'!F433</f>
        <v>good</v>
      </c>
      <c r="F390" s="58"/>
      <c r="G390" s="8">
        <f>'NELIOTA (p&lt;0.5)'!H433</f>
        <v>0</v>
      </c>
      <c r="H390" s="8">
        <f>'NELIOTA (p&lt;0.5)'!I433</f>
        <v>100</v>
      </c>
      <c r="I390" s="8">
        <f>'NELIOTA (p&lt;0.5)'!J433</f>
        <v>0</v>
      </c>
      <c r="J390" s="82"/>
      <c r="K390" s="102">
        <f>'NELIOTA (p&lt;0.5)'!M433</f>
        <v>0</v>
      </c>
      <c r="L390" s="93">
        <f t="shared" si="576"/>
        <v>0</v>
      </c>
      <c r="N390" s="11">
        <v>2</v>
      </c>
      <c r="O390" s="11">
        <v>15</v>
      </c>
      <c r="P390" s="9">
        <f t="shared" si="577"/>
        <v>2.25</v>
      </c>
      <c r="Q390" s="9">
        <f t="shared" si="578"/>
        <v>1.4039999999999999</v>
      </c>
      <c r="R390" s="9">
        <f t="shared" si="579"/>
        <v>1.4039999999999999</v>
      </c>
      <c r="S390" s="9">
        <f t="shared" si="580"/>
        <v>0</v>
      </c>
      <c r="T390" s="9">
        <f t="shared" si="581"/>
        <v>1.4039999999999999</v>
      </c>
      <c r="U390" s="9">
        <f t="shared" si="582"/>
        <v>0</v>
      </c>
      <c r="V390" s="9">
        <f t="shared" si="583"/>
        <v>1.4039999999999999</v>
      </c>
      <c r="W390" s="9">
        <f t="shared" si="584"/>
        <v>0</v>
      </c>
      <c r="X390" s="9"/>
      <c r="Y390" s="9"/>
      <c r="Z390" s="9"/>
      <c r="AA390" s="9"/>
    </row>
    <row r="391" spans="1:27" x14ac:dyDescent="0.25">
      <c r="A391" s="82">
        <f>'NELIOTA (p&lt;0.5)'!A434</f>
        <v>44589</v>
      </c>
      <c r="B391" s="58" t="str">
        <f>'NELIOTA (p&lt;0.5)'!B434</f>
        <v>06:25-07:10</v>
      </c>
      <c r="C391" s="59">
        <f>'NELIOTA (p&lt;0.5)'!C434</f>
        <v>0.217</v>
      </c>
      <c r="D391" s="120">
        <f>'NELIOTA (p&lt;0.5)'!D434</f>
        <v>0</v>
      </c>
      <c r="E391" s="120" t="str">
        <f>'NELIOTA (p&lt;0.5)'!F434</f>
        <v>good</v>
      </c>
      <c r="F391" s="58"/>
      <c r="G391" s="8">
        <f>'NELIOTA (p&lt;0.5)'!H434</f>
        <v>0</v>
      </c>
      <c r="H391" s="8">
        <f>'NELIOTA (p&lt;0.5)'!I434</f>
        <v>100</v>
      </c>
      <c r="I391" s="8">
        <f>'NELIOTA (p&lt;0.5)'!J434</f>
        <v>0</v>
      </c>
      <c r="J391" s="82"/>
      <c r="K391" s="102">
        <f>'NELIOTA (p&lt;0.5)'!M434</f>
        <v>0</v>
      </c>
      <c r="L391" s="93">
        <f t="shared" si="576"/>
        <v>0</v>
      </c>
      <c r="N391" s="11">
        <v>0</v>
      </c>
      <c r="O391" s="11">
        <v>45</v>
      </c>
      <c r="P391" s="9">
        <f t="shared" si="577"/>
        <v>0.75</v>
      </c>
      <c r="Q391" s="9">
        <f t="shared" si="578"/>
        <v>0.46799999999999997</v>
      </c>
      <c r="R391" s="9">
        <f t="shared" si="579"/>
        <v>0.46799999999999997</v>
      </c>
      <c r="S391" s="9">
        <f t="shared" si="580"/>
        <v>0</v>
      </c>
      <c r="T391" s="9">
        <f t="shared" si="581"/>
        <v>0.46799999999999997</v>
      </c>
      <c r="U391" s="9">
        <f t="shared" si="582"/>
        <v>0</v>
      </c>
      <c r="V391" s="9">
        <f t="shared" si="583"/>
        <v>0.46799999999999997</v>
      </c>
      <c r="W391" s="9">
        <f t="shared" si="584"/>
        <v>0</v>
      </c>
      <c r="X391" s="9">
        <f>SUM(U385:U391)</f>
        <v>0.38126944444444444</v>
      </c>
      <c r="Y391" s="9">
        <f>100*X391/SUM(T385:T391)</f>
        <v>3.872615641409284</v>
      </c>
      <c r="Z391" s="9">
        <f>100*SUM(V385:V391)/SUM(T385:T391)</f>
        <v>96.127384358590746</v>
      </c>
      <c r="AA391" s="9">
        <f>100*SUM(W385:W391)/SUM(T385:T391)</f>
        <v>0</v>
      </c>
    </row>
    <row r="392" spans="1:27" s="48" customFormat="1" x14ac:dyDescent="0.25">
      <c r="A392" s="94">
        <f>'NELIOTA (p&lt;0.5)'!A435</f>
        <v>44596</v>
      </c>
      <c r="B392" s="62" t="str">
        <f>'NELIOTA (p&lt;0.5)'!B435</f>
        <v>18:20-19:40</v>
      </c>
      <c r="C392" s="63">
        <f>'NELIOTA (p&lt;0.5)'!C435</f>
        <v>0.151</v>
      </c>
      <c r="D392" s="172">
        <f>'NELIOTA (p&lt;0.5)'!D435</f>
        <v>100</v>
      </c>
      <c r="E392" s="172" t="str">
        <f>'NELIOTA (p&lt;0.5)'!F435</f>
        <v>very good</v>
      </c>
      <c r="F392" s="62"/>
      <c r="G392" s="24">
        <f>'NELIOTA (p&lt;0.5)'!H435</f>
        <v>100</v>
      </c>
      <c r="H392" s="24">
        <f>'NELIOTA (p&lt;0.5)'!I435</f>
        <v>0</v>
      </c>
      <c r="I392" s="24">
        <f>'NELIOTA (p&lt;0.5)'!J435</f>
        <v>0</v>
      </c>
      <c r="J392" s="94"/>
      <c r="K392" s="100">
        <f>'NELIOTA (p&lt;0.5)'!M435</f>
        <v>3535.47</v>
      </c>
      <c r="L392" s="92">
        <f t="shared" ref="L392" si="585">K392/3600</f>
        <v>0.98207499999999992</v>
      </c>
      <c r="N392" s="47">
        <v>1</v>
      </c>
      <c r="O392" s="47">
        <v>34.435000000000002</v>
      </c>
      <c r="P392" s="33">
        <f t="shared" ref="P392" si="586">N392+O392/60</f>
        <v>1.5739166666666669</v>
      </c>
      <c r="Q392" s="33">
        <f t="shared" ref="Q392" si="587">P392*62.4%</f>
        <v>0.98212400000000011</v>
      </c>
      <c r="R392" s="33">
        <f t="shared" ref="R392" si="588">IF(G392=100,L392,Q392)</f>
        <v>0.98207499999999992</v>
      </c>
      <c r="S392" s="33">
        <f t="shared" ref="S392" si="589">100*L392/Q392</f>
        <v>99.995010813298506</v>
      </c>
      <c r="T392" s="33">
        <f t="shared" ref="T392" si="590">R392</f>
        <v>0.98207499999999992</v>
      </c>
      <c r="U392" s="33">
        <f t="shared" ref="U392" si="591">L392</f>
        <v>0.98207499999999992</v>
      </c>
      <c r="V392" s="33">
        <f t="shared" ref="V392" si="592">T392*H392%</f>
        <v>0</v>
      </c>
      <c r="W392" s="33">
        <f t="shared" ref="W392" si="593">T392*I392%</f>
        <v>0</v>
      </c>
      <c r="X392" s="33"/>
      <c r="Y392" s="33"/>
      <c r="Z392" s="33"/>
      <c r="AA392" s="33"/>
    </row>
    <row r="393" spans="1:27" x14ac:dyDescent="0.25">
      <c r="A393" s="82">
        <f>'NELIOTA (p&lt;0.5)'!A436</f>
        <v>44597</v>
      </c>
      <c r="B393" s="58" t="str">
        <f>'NELIOTA (p&lt;0.5)'!B436</f>
        <v>18:20-20:50</v>
      </c>
      <c r="C393" s="59">
        <f>'NELIOTA (p&lt;0.5)'!C436</f>
        <v>0.23799999999999999</v>
      </c>
      <c r="D393" s="120">
        <f>'NELIOTA (p&lt;0.5)'!D436</f>
        <v>60</v>
      </c>
      <c r="E393" s="120" t="str">
        <f>'NELIOTA (p&lt;0.5)'!F436</f>
        <v>very good</v>
      </c>
      <c r="F393" s="58"/>
      <c r="G393" s="8">
        <f>'NELIOTA (p&lt;0.5)'!H436</f>
        <v>60</v>
      </c>
      <c r="H393" s="8">
        <v>40</v>
      </c>
      <c r="I393" s="8">
        <f>'NELIOTA (p&lt;0.5)'!J436</f>
        <v>0</v>
      </c>
      <c r="J393" s="82"/>
      <c r="K393" s="102">
        <f>'NELIOTA (p&lt;0.5)'!M436</f>
        <v>3943.81</v>
      </c>
      <c r="L393" s="93">
        <f t="shared" ref="L393" si="594">K393/3600</f>
        <v>1.0955027777777777</v>
      </c>
      <c r="N393" s="11">
        <v>2</v>
      </c>
      <c r="O393" s="11">
        <v>55.57</v>
      </c>
      <c r="P393" s="9">
        <f t="shared" ref="P393" si="595">N393+O393/60</f>
        <v>2.9261666666666666</v>
      </c>
      <c r="Q393" s="9">
        <f t="shared" ref="Q393" si="596">P393*62.4%</f>
        <v>1.825928</v>
      </c>
      <c r="R393" s="9">
        <f t="shared" ref="R393" si="597">IF(G393=100,L393,Q393)</f>
        <v>1.825928</v>
      </c>
      <c r="S393" s="9">
        <f t="shared" ref="S393" si="598">100*L393/Q393</f>
        <v>59.997041382671043</v>
      </c>
      <c r="T393" s="9">
        <f t="shared" ref="T393" si="599">R393</f>
        <v>1.825928</v>
      </c>
      <c r="U393" s="9">
        <f t="shared" ref="U393" si="600">L393</f>
        <v>1.0955027777777777</v>
      </c>
      <c r="V393" s="9">
        <f t="shared" ref="V393" si="601">T393*H393%</f>
        <v>0.7303712</v>
      </c>
      <c r="W393" s="9">
        <f t="shared" ref="W393" si="602">T393*I393%</f>
        <v>0</v>
      </c>
      <c r="X393" s="9"/>
      <c r="Y393" s="9"/>
      <c r="Z393" s="9"/>
      <c r="AA393" s="9"/>
    </row>
    <row r="394" spans="1:27" x14ac:dyDescent="0.25">
      <c r="A394" s="82">
        <f>'NELIOTA (p&lt;0.5)'!A437</f>
        <v>44598</v>
      </c>
      <c r="B394" s="58" t="str">
        <f>'NELIOTA (p&lt;0.5)'!B437</f>
        <v>18:20-21:50</v>
      </c>
      <c r="C394" s="59">
        <f>'NELIOTA (p&lt;0.5)'!C437</f>
        <v>0.33300000000000002</v>
      </c>
      <c r="D394" s="120">
        <f>'NELIOTA (p&lt;0.5)'!D437</f>
        <v>0</v>
      </c>
      <c r="E394" s="120" t="str">
        <f>'NELIOTA (p&lt;0.5)'!F437</f>
        <v>Cloudiness</v>
      </c>
      <c r="F394" s="58"/>
      <c r="G394" s="8">
        <f>'NELIOTA (p&lt;0.5)'!H437</f>
        <v>0</v>
      </c>
      <c r="H394" s="8">
        <f>'NELIOTA (p&lt;0.5)'!I437</f>
        <v>100</v>
      </c>
      <c r="I394" s="8">
        <f>'NELIOTA (p&lt;0.5)'!J437</f>
        <v>0</v>
      </c>
      <c r="J394" s="82"/>
      <c r="K394" s="102">
        <f>'NELIOTA (p&lt;0.5)'!M437</f>
        <v>0</v>
      </c>
      <c r="L394" s="93">
        <f t="shared" ref="L394" si="603">K394/3600</f>
        <v>0</v>
      </c>
      <c r="N394" s="11">
        <v>3</v>
      </c>
      <c r="O394" s="11">
        <v>30</v>
      </c>
      <c r="P394" s="9">
        <f t="shared" ref="P394" si="604">N394+O394/60</f>
        <v>3.5</v>
      </c>
      <c r="Q394" s="9">
        <f t="shared" ref="Q394" si="605">P394*62.4%</f>
        <v>2.1840000000000002</v>
      </c>
      <c r="R394" s="9">
        <f t="shared" ref="R394" si="606">IF(G394=100,L394,Q394)</f>
        <v>2.1840000000000002</v>
      </c>
      <c r="S394" s="9">
        <f t="shared" ref="S394" si="607">100*L394/Q394</f>
        <v>0</v>
      </c>
      <c r="T394" s="9">
        <f t="shared" ref="T394" si="608">R394</f>
        <v>2.1840000000000002</v>
      </c>
      <c r="U394" s="9">
        <f t="shared" ref="U394" si="609">L394</f>
        <v>0</v>
      </c>
      <c r="V394" s="9">
        <f t="shared" ref="V394" si="610">T394*H394%</f>
        <v>2.1840000000000002</v>
      </c>
      <c r="W394" s="9">
        <f t="shared" ref="W394" si="611">T394*I394%</f>
        <v>0</v>
      </c>
    </row>
    <row r="395" spans="1:27" x14ac:dyDescent="0.25">
      <c r="A395" s="82">
        <f>'NELIOTA (p&lt;0.5)'!A438</f>
        <v>44599</v>
      </c>
      <c r="B395" s="58" t="str">
        <f>'NELIOTA (p&lt;0.5)'!B438</f>
        <v>18:20-22:50</v>
      </c>
      <c r="C395" s="59">
        <f>'NELIOTA (p&lt;0.5)'!C438</f>
        <v>0.433</v>
      </c>
      <c r="D395" s="120">
        <f>'NELIOTA (p&lt;0.5)'!D438</f>
        <v>13</v>
      </c>
      <c r="E395" s="120" t="str">
        <f>'NELIOTA (p&lt;0.5)'!F438</f>
        <v>moderate - bad</v>
      </c>
      <c r="F395" s="58"/>
      <c r="G395" s="8">
        <f>'NELIOTA (p&lt;0.5)'!H438</f>
        <v>13</v>
      </c>
      <c r="H395" s="8">
        <f>'NELIOTA (p&lt;0.5)'!I438</f>
        <v>87</v>
      </c>
      <c r="I395" s="8">
        <f>'NELIOTA (p&lt;0.5)'!J438</f>
        <v>0</v>
      </c>
      <c r="J395" s="82"/>
      <c r="K395" s="102">
        <f>'NELIOTA (p&lt;0.5)'!M438</f>
        <v>1557.2380000000001</v>
      </c>
      <c r="L395" s="93">
        <f t="shared" ref="L395" si="612">K395/3600</f>
        <v>0.43256611111111115</v>
      </c>
      <c r="N395" s="11">
        <v>5</v>
      </c>
      <c r="O395" s="11">
        <v>45</v>
      </c>
      <c r="P395" s="9">
        <f t="shared" ref="P395" si="613">N395+O395/60</f>
        <v>5.75</v>
      </c>
      <c r="Q395" s="9">
        <f t="shared" ref="Q395" si="614">P395*62.4%</f>
        <v>3.5880000000000001</v>
      </c>
      <c r="R395" s="9">
        <f t="shared" ref="R395" si="615">IF(G395=100,L395,Q395)</f>
        <v>3.5880000000000001</v>
      </c>
      <c r="S395" s="9">
        <f>100*L395/Q395</f>
        <v>12.055911680911681</v>
      </c>
      <c r="T395" s="9">
        <f t="shared" ref="T395" si="616">R395</f>
        <v>3.5880000000000001</v>
      </c>
      <c r="U395" s="9">
        <f t="shared" ref="U395" si="617">L395</f>
        <v>0.43256611111111115</v>
      </c>
      <c r="V395" s="9">
        <f t="shared" ref="V395" si="618">T395*H395%</f>
        <v>3.1215600000000001</v>
      </c>
      <c r="W395" s="9">
        <f t="shared" ref="W395" si="619">T395*I395%</f>
        <v>0</v>
      </c>
    </row>
    <row r="396" spans="1:27" x14ac:dyDescent="0.25">
      <c r="A396" s="82">
        <f>'NELIOTA (p&lt;0.5)'!A439</f>
        <v>44617</v>
      </c>
      <c r="B396" s="58" t="str">
        <f>'NELIOTA (p&lt;0.5)'!B439</f>
        <v>05:35-06:40</v>
      </c>
      <c r="C396" s="59">
        <f>'NELIOTA (p&lt;0.5)'!C439</f>
        <v>0.36299999999999999</v>
      </c>
      <c r="D396" s="120">
        <f>'NELIOTA (p&lt;0.5)'!D439</f>
        <v>100</v>
      </c>
      <c r="E396" s="120" t="str">
        <f>'NELIOTA (p&lt;0.5)'!F439</f>
        <v>very good</v>
      </c>
      <c r="F396" s="58"/>
      <c r="G396" s="8">
        <f>'NELIOTA (p&lt;0.5)'!H439</f>
        <v>100</v>
      </c>
      <c r="H396" s="8">
        <f>'NELIOTA (p&lt;0.5)'!I439</f>
        <v>0</v>
      </c>
      <c r="I396" s="8">
        <f>'NELIOTA (p&lt;0.5)'!J439</f>
        <v>0</v>
      </c>
      <c r="J396" s="82"/>
      <c r="K396" s="102">
        <f>'NELIOTA (p&lt;0.5)'!M439</f>
        <v>3052.26</v>
      </c>
      <c r="L396" s="93">
        <f t="shared" ref="L396" si="620">K396/3600</f>
        <v>0.8478500000000001</v>
      </c>
      <c r="N396" s="11">
        <v>1</v>
      </c>
      <c r="O396" s="11">
        <v>21.52</v>
      </c>
      <c r="P396" s="9">
        <f t="shared" ref="P396" si="621">N396+O396/60</f>
        <v>1.3586666666666667</v>
      </c>
      <c r="Q396" s="9">
        <f t="shared" ref="Q396" si="622">P396*62.4%</f>
        <v>0.84780800000000001</v>
      </c>
      <c r="R396" s="9">
        <f t="shared" ref="R396" si="623">IF(G396=100,L396,Q396)</f>
        <v>0.8478500000000001</v>
      </c>
      <c r="S396" s="9">
        <f>100*L396/Q396</f>
        <v>100.00495395183816</v>
      </c>
      <c r="T396" s="9">
        <f t="shared" ref="T396" si="624">R396</f>
        <v>0.8478500000000001</v>
      </c>
      <c r="U396" s="9">
        <f t="shared" ref="U396" si="625">L396</f>
        <v>0.8478500000000001</v>
      </c>
      <c r="V396" s="9">
        <f t="shared" ref="V396" si="626">T396*H396%</f>
        <v>0</v>
      </c>
      <c r="W396" s="9">
        <f t="shared" ref="W396" si="627">T396*I396%</f>
        <v>0</v>
      </c>
      <c r="X396" s="9">
        <f>SUM(U392:U396)</f>
        <v>3.3579938888888887</v>
      </c>
      <c r="Y396" s="9">
        <f>100*X396/SUM(T392:T396)</f>
        <v>35.61780066881493</v>
      </c>
      <c r="Z396" s="9">
        <f>100*SUM(V392:V396)/SUM(T392:T396)</f>
        <v>64.022330428783732</v>
      </c>
      <c r="AA396" s="9">
        <f>100*SUM(W392:W396)/SUM(T392:T396)</f>
        <v>0</v>
      </c>
    </row>
    <row r="397" spans="1:27" s="48" customFormat="1" x14ac:dyDescent="0.25">
      <c r="A397" s="94">
        <f>'NELIOTA (p&lt;0.5)'!A440</f>
        <v>44625</v>
      </c>
      <c r="B397" s="62" t="str">
        <f>'NELIOTA (p&lt;0.5)'!B440</f>
        <v>18:50-19:35</v>
      </c>
      <c r="C397" s="63">
        <f>'NELIOTA (p&lt;0.5)'!C440</f>
        <v>0.10199999999999999</v>
      </c>
      <c r="D397" s="172">
        <f>'NELIOTA (p&lt;0.5)'!D440</f>
        <v>0</v>
      </c>
      <c r="E397" s="172" t="str">
        <f>'NELIOTA (p&lt;0.5)'!F440</f>
        <v>Cloudiness</v>
      </c>
      <c r="F397" s="62"/>
      <c r="G397" s="24">
        <f>'NELIOTA (p&lt;0.5)'!H440</f>
        <v>0</v>
      </c>
      <c r="H397" s="24">
        <f>'NELIOTA (p&lt;0.5)'!I440</f>
        <v>100</v>
      </c>
      <c r="I397" s="24">
        <f>'NELIOTA (p&lt;0.5)'!J440</f>
        <v>0</v>
      </c>
      <c r="J397" s="94"/>
      <c r="K397" s="100">
        <f>'NELIOTA (p&lt;0.5)'!M440</f>
        <v>0</v>
      </c>
      <c r="L397" s="92">
        <f t="shared" ref="L397:L401" si="628">K397/3600</f>
        <v>0</v>
      </c>
      <c r="N397" s="47">
        <v>0</v>
      </c>
      <c r="O397" s="47">
        <v>45</v>
      </c>
      <c r="P397" s="33">
        <f t="shared" ref="P397:P401" si="629">N397+O397/60</f>
        <v>0.75</v>
      </c>
      <c r="Q397" s="33">
        <f t="shared" ref="Q397:Q401" si="630">P397*62.4%</f>
        <v>0.46799999999999997</v>
      </c>
      <c r="R397" s="33">
        <f t="shared" ref="R397:R401" si="631">IF(G397=100,L397,Q397)</f>
        <v>0.46799999999999997</v>
      </c>
      <c r="S397" s="33">
        <f t="shared" ref="S397:S400" si="632">100*L397/Q397</f>
        <v>0</v>
      </c>
      <c r="T397" s="33">
        <f t="shared" ref="T397:T401" si="633">R397</f>
        <v>0.46799999999999997</v>
      </c>
      <c r="U397" s="33">
        <f t="shared" ref="U397:U401" si="634">L397</f>
        <v>0</v>
      </c>
      <c r="V397" s="33">
        <f t="shared" ref="V397:V401" si="635">T397*H397%</f>
        <v>0.46799999999999997</v>
      </c>
      <c r="W397" s="33">
        <f t="shared" ref="W397:W401" si="636">T397*I397%</f>
        <v>0</v>
      </c>
      <c r="X397" s="33"/>
      <c r="Y397" s="33"/>
      <c r="Z397" s="33"/>
      <c r="AA397" s="33"/>
    </row>
    <row r="398" spans="1:27" x14ac:dyDescent="0.25">
      <c r="A398" s="82">
        <f>'NELIOTA (p&lt;0.5)'!A441</f>
        <v>44626</v>
      </c>
      <c r="B398" s="58" t="str">
        <f>'NELIOTA (p&lt;0.5)'!B441</f>
        <v>18:50-20:35</v>
      </c>
      <c r="C398" s="59">
        <f>'NELIOTA (p&lt;0.5)'!C441</f>
        <v>0.17499999999999999</v>
      </c>
      <c r="D398" s="120">
        <f>'NELIOTA (p&lt;0.5)'!D441</f>
        <v>0</v>
      </c>
      <c r="E398" s="120" t="str">
        <f>'NELIOTA (p&lt;0.5)'!F441</f>
        <v>Cloudiness</v>
      </c>
      <c r="F398" s="58"/>
      <c r="G398" s="8">
        <f>'NELIOTA (p&lt;0.5)'!H441</f>
        <v>0</v>
      </c>
      <c r="H398" s="8">
        <f>'NELIOTA (p&lt;0.5)'!I441</f>
        <v>100</v>
      </c>
      <c r="I398" s="8">
        <f>'NELIOTA (p&lt;0.5)'!J441</f>
        <v>0</v>
      </c>
      <c r="J398" s="82"/>
      <c r="K398" s="102">
        <f>'NELIOTA (p&lt;0.5)'!M441</f>
        <v>0</v>
      </c>
      <c r="L398" s="93">
        <f t="shared" si="628"/>
        <v>0</v>
      </c>
      <c r="N398" s="11">
        <v>1</v>
      </c>
      <c r="O398" s="11">
        <v>45</v>
      </c>
      <c r="P398" s="9">
        <f t="shared" si="629"/>
        <v>1.75</v>
      </c>
      <c r="Q398" s="9">
        <f t="shared" si="630"/>
        <v>1.0920000000000001</v>
      </c>
      <c r="R398" s="9">
        <f t="shared" si="631"/>
        <v>1.0920000000000001</v>
      </c>
      <c r="S398" s="9">
        <f t="shared" si="632"/>
        <v>0</v>
      </c>
      <c r="T398" s="9">
        <f t="shared" si="633"/>
        <v>1.0920000000000001</v>
      </c>
      <c r="U398" s="9">
        <f t="shared" si="634"/>
        <v>0</v>
      </c>
      <c r="V398" s="9">
        <f t="shared" si="635"/>
        <v>1.0920000000000001</v>
      </c>
      <c r="W398" s="9">
        <f t="shared" si="636"/>
        <v>0</v>
      </c>
      <c r="X398" s="9"/>
      <c r="Y398" s="9"/>
      <c r="Z398" s="9"/>
      <c r="AA398" s="9"/>
    </row>
    <row r="399" spans="1:27" x14ac:dyDescent="0.25">
      <c r="A399" s="82">
        <f>'NELIOTA (p&lt;0.5)'!A442</f>
        <v>44627</v>
      </c>
      <c r="B399" s="58" t="str">
        <f>'NELIOTA (p&lt;0.5)'!B442</f>
        <v>18:50-21:35</v>
      </c>
      <c r="C399" s="59">
        <f>'NELIOTA (p&lt;0.5)'!C442</f>
        <v>0.26</v>
      </c>
      <c r="D399" s="120">
        <f>'NELIOTA (p&lt;0.5)'!D442</f>
        <v>30</v>
      </c>
      <c r="E399" s="120" t="str">
        <f>'NELIOTA (p&lt;0.5)'!F442</f>
        <v>moderate</v>
      </c>
      <c r="F399" s="58"/>
      <c r="G399" s="8">
        <f>'NELIOTA (p&lt;0.5)'!H442</f>
        <v>30</v>
      </c>
      <c r="H399" s="8">
        <f>'NELIOTA (p&lt;0.5)'!I442</f>
        <v>70</v>
      </c>
      <c r="I399" s="8">
        <f>'NELIOTA (p&lt;0.5)'!J442</f>
        <v>0</v>
      </c>
      <c r="J399" s="82"/>
      <c r="K399" s="102">
        <f>'NELIOTA (p&lt;0.5)'!M442</f>
        <v>2186.817</v>
      </c>
      <c r="L399" s="93">
        <f t="shared" si="628"/>
        <v>0.60744916666666671</v>
      </c>
      <c r="N399" s="11">
        <v>3</v>
      </c>
      <c r="O399" s="11">
        <v>14.7</v>
      </c>
      <c r="P399" s="9">
        <f t="shared" si="629"/>
        <v>3.2450000000000001</v>
      </c>
      <c r="Q399" s="9">
        <f t="shared" si="630"/>
        <v>2.02488</v>
      </c>
      <c r="R399" s="9">
        <f t="shared" si="631"/>
        <v>2.02488</v>
      </c>
      <c r="S399" s="9">
        <f t="shared" si="632"/>
        <v>29.999267446301346</v>
      </c>
      <c r="T399" s="9">
        <f t="shared" si="633"/>
        <v>2.02488</v>
      </c>
      <c r="U399" s="9">
        <f t="shared" si="634"/>
        <v>0.60744916666666671</v>
      </c>
      <c r="V399" s="9">
        <f t="shared" si="635"/>
        <v>1.417416</v>
      </c>
      <c r="W399" s="9">
        <f t="shared" si="636"/>
        <v>0</v>
      </c>
      <c r="X399" s="9"/>
      <c r="Y399" s="9"/>
      <c r="Z399" s="9"/>
      <c r="AA399" s="9"/>
    </row>
    <row r="400" spans="1:27" x14ac:dyDescent="0.25">
      <c r="A400" s="82">
        <f>'NELIOTA (p&lt;0.5)'!A443</f>
        <v>44628</v>
      </c>
      <c r="B400" s="58" t="str">
        <f>'NELIOTA (p&lt;0.5)'!B443</f>
        <v>18:50-22:35</v>
      </c>
      <c r="C400" s="59">
        <f>'NELIOTA (p&lt;0.5)'!C443</f>
        <v>0.35299999999999998</v>
      </c>
      <c r="D400" s="120">
        <f>'NELIOTA (p&lt;0.5)'!D443</f>
        <v>0</v>
      </c>
      <c r="E400" s="120" t="str">
        <f>'NELIOTA (p&lt;0.5)'!F443</f>
        <v>Cloudiness</v>
      </c>
      <c r="F400" s="58"/>
      <c r="G400" s="8">
        <f>'NELIOTA (p&lt;0.5)'!H443</f>
        <v>0</v>
      </c>
      <c r="H400" s="8">
        <f>'NELIOTA (p&lt;0.5)'!I443</f>
        <v>100</v>
      </c>
      <c r="I400" s="8">
        <f>'NELIOTA (p&lt;0.5)'!J443</f>
        <v>0</v>
      </c>
      <c r="J400" s="82"/>
      <c r="K400" s="102">
        <f>'NELIOTA (p&lt;0.5)'!M443</f>
        <v>0</v>
      </c>
      <c r="L400" s="93">
        <f t="shared" si="628"/>
        <v>0</v>
      </c>
      <c r="N400" s="11">
        <v>3</v>
      </c>
      <c r="O400" s="11">
        <v>45</v>
      </c>
      <c r="P400" s="9">
        <f t="shared" si="629"/>
        <v>3.75</v>
      </c>
      <c r="Q400" s="9">
        <f t="shared" si="630"/>
        <v>2.34</v>
      </c>
      <c r="R400" s="9">
        <f t="shared" si="631"/>
        <v>2.34</v>
      </c>
      <c r="S400" s="9">
        <f t="shared" si="632"/>
        <v>0</v>
      </c>
      <c r="T400" s="9">
        <f t="shared" si="633"/>
        <v>2.34</v>
      </c>
      <c r="U400" s="9">
        <f t="shared" si="634"/>
        <v>0</v>
      </c>
      <c r="V400" s="9">
        <f t="shared" si="635"/>
        <v>2.34</v>
      </c>
      <c r="W400" s="9">
        <f t="shared" si="636"/>
        <v>0</v>
      </c>
      <c r="X400" s="9"/>
      <c r="Y400" s="9"/>
      <c r="Z400" s="9"/>
      <c r="AA400" s="9"/>
    </row>
    <row r="401" spans="1:27" x14ac:dyDescent="0.25">
      <c r="A401" s="82">
        <f>'NELIOTA (p&lt;0.5)'!A444</f>
        <v>44629</v>
      </c>
      <c r="B401" s="58" t="str">
        <f>'NELIOTA (p&lt;0.5)'!B444</f>
        <v>18:50-23:30</v>
      </c>
      <c r="C401" s="59">
        <f>'NELIOTA (p&lt;0.5)'!C444</f>
        <v>0.44900000000000001</v>
      </c>
      <c r="D401" s="120">
        <f>'NELIOTA (p&lt;0.5)'!D444</f>
        <v>0</v>
      </c>
      <c r="E401" s="120" t="str">
        <f>'NELIOTA (p&lt;0.5)'!F444</f>
        <v>Cloudiness</v>
      </c>
      <c r="F401" s="58"/>
      <c r="G401" s="8">
        <f>'NELIOTA (p&lt;0.5)'!H444</f>
        <v>0</v>
      </c>
      <c r="H401" s="8">
        <f>'NELIOTA (p&lt;0.5)'!I444</f>
        <v>100</v>
      </c>
      <c r="I401" s="8">
        <f>'NELIOTA (p&lt;0.5)'!J444</f>
        <v>0</v>
      </c>
      <c r="J401" s="82"/>
      <c r="K401" s="102">
        <f>'NELIOTA (p&lt;0.5)'!M444</f>
        <v>0</v>
      </c>
      <c r="L401" s="93">
        <f t="shared" si="628"/>
        <v>0</v>
      </c>
      <c r="N401" s="11">
        <v>4</v>
      </c>
      <c r="O401" s="11">
        <v>40</v>
      </c>
      <c r="P401" s="9">
        <f t="shared" si="629"/>
        <v>4.666666666666667</v>
      </c>
      <c r="Q401" s="9">
        <f t="shared" si="630"/>
        <v>2.9120000000000004</v>
      </c>
      <c r="R401" s="9">
        <f t="shared" si="631"/>
        <v>2.9120000000000004</v>
      </c>
      <c r="S401" s="9">
        <f>100*L401/Q401</f>
        <v>0</v>
      </c>
      <c r="T401" s="9">
        <f t="shared" si="633"/>
        <v>2.9120000000000004</v>
      </c>
      <c r="U401" s="9">
        <f t="shared" si="634"/>
        <v>0</v>
      </c>
      <c r="V401" s="9">
        <f t="shared" si="635"/>
        <v>2.9120000000000004</v>
      </c>
      <c r="W401" s="9">
        <f t="shared" si="636"/>
        <v>0</v>
      </c>
      <c r="X401" s="9"/>
      <c r="Y401" s="9"/>
      <c r="Z401" s="9"/>
      <c r="AA401" s="9"/>
    </row>
    <row r="402" spans="1:27" x14ac:dyDescent="0.25">
      <c r="A402" s="82">
        <f>'NELIOTA (p&lt;0.5)'!A445</f>
        <v>44646</v>
      </c>
      <c r="B402" s="58" t="str">
        <f>'NELIOTA (p&lt;0.5)'!B445</f>
        <v>05:35-06:00</v>
      </c>
      <c r="C402" s="59">
        <f>'NELIOTA (p&lt;0.5)'!C445</f>
        <v>0.39600000000000002</v>
      </c>
      <c r="D402" s="120">
        <f>'NELIOTA (p&lt;0.5)'!D445</f>
        <v>100</v>
      </c>
      <c r="E402" s="120" t="str">
        <f>'NELIOTA (p&lt;0.5)'!F445</f>
        <v>very good</v>
      </c>
      <c r="F402" s="58"/>
      <c r="G402" s="8">
        <f>'NELIOTA (p&lt;0.5)'!H445</f>
        <v>100</v>
      </c>
      <c r="H402" s="8">
        <f>'NELIOTA (p&lt;0.5)'!I445</f>
        <v>0</v>
      </c>
      <c r="I402" s="8">
        <f>'NELIOTA (p&lt;0.5)'!J445</f>
        <v>0</v>
      </c>
      <c r="J402" s="82"/>
      <c r="K402" s="102">
        <f>'NELIOTA (p&lt;0.5)'!M445</f>
        <v>1295.73</v>
      </c>
      <c r="L402" s="93">
        <f t="shared" ref="L402" si="637">K402/3600</f>
        <v>0.35992499999999999</v>
      </c>
      <c r="N402" s="11">
        <v>0</v>
      </c>
      <c r="O402" s="11">
        <v>25</v>
      </c>
      <c r="P402" s="9">
        <f t="shared" ref="P402" si="638">N402+O402/60</f>
        <v>0.41666666666666669</v>
      </c>
      <c r="Q402" s="9">
        <f t="shared" ref="Q402" si="639">P402*62.4%</f>
        <v>0.26</v>
      </c>
      <c r="R402" s="9">
        <f t="shared" ref="R402" si="640">IF(G402=100,L402,Q402)</f>
        <v>0.35992499999999999</v>
      </c>
      <c r="S402" s="9">
        <f>100*L402/Q402</f>
        <v>138.43269230769229</v>
      </c>
      <c r="T402" s="9">
        <f t="shared" ref="T402" si="641">R402</f>
        <v>0.35992499999999999</v>
      </c>
      <c r="U402" s="9">
        <f t="shared" ref="U402" si="642">L402</f>
        <v>0.35992499999999999</v>
      </c>
      <c r="V402" s="9">
        <f t="shared" ref="V402" si="643">T402*H402%</f>
        <v>0</v>
      </c>
      <c r="W402" s="9">
        <f t="shared" ref="W402" si="644">T402*I402%</f>
        <v>0</v>
      </c>
      <c r="X402" s="9">
        <f>SUM(U397:U402)</f>
        <v>0.96737416666666665</v>
      </c>
      <c r="Y402" s="9">
        <f>100*X402/SUM(T397:T402)</f>
        <v>10.518589517410302</v>
      </c>
      <c r="Z402" s="9">
        <f>100*SUM(V397:V402)/SUM(T397:T402)</f>
        <v>89.481249194693163</v>
      </c>
      <c r="AA402" s="9">
        <f>100*SUM(W397:W402)/SUM(T397:T402)</f>
        <v>0</v>
      </c>
    </row>
    <row r="403" spans="1:27" s="48" customFormat="1" x14ac:dyDescent="0.25">
      <c r="A403" s="94">
        <f>'NELIOTA (p&lt;0.5)'!A446</f>
        <v>44655</v>
      </c>
      <c r="B403" s="62" t="str">
        <f>'NELIOTA (p&lt;0.5)'!B446</f>
        <v>20:15-21:25</v>
      </c>
      <c r="C403" s="63">
        <f>'NELIOTA (p&lt;0.5)'!C446</f>
        <v>0.121</v>
      </c>
      <c r="D403" s="172">
        <f>'NELIOTA (p&lt;0.5)'!D446</f>
        <v>0</v>
      </c>
      <c r="E403" s="172" t="str">
        <f>'NELIOTA (p&lt;0.5)'!F446</f>
        <v>Cloudiness</v>
      </c>
      <c r="F403" s="62"/>
      <c r="G403" s="24">
        <f>'NELIOTA (p&lt;0.5)'!H446</f>
        <v>0</v>
      </c>
      <c r="H403" s="24">
        <f>'NELIOTA (p&lt;0.5)'!I446</f>
        <v>100</v>
      </c>
      <c r="I403" s="24">
        <f>'NELIOTA (p&lt;0.5)'!J446</f>
        <v>0</v>
      </c>
      <c r="J403" s="94"/>
      <c r="K403" s="100">
        <f>'NELIOTA (p&lt;0.5)'!M446</f>
        <v>0</v>
      </c>
      <c r="L403" s="92">
        <f t="shared" ref="L403:L405" si="645">K403/3600</f>
        <v>0</v>
      </c>
      <c r="N403" s="47">
        <v>1</v>
      </c>
      <c r="O403" s="47">
        <v>10</v>
      </c>
      <c r="P403" s="33">
        <f t="shared" ref="P403:P405" si="646">N403+O403/60</f>
        <v>1.1666666666666667</v>
      </c>
      <c r="Q403" s="33">
        <f t="shared" ref="Q403:Q405" si="647">P403*62.4%</f>
        <v>0.72800000000000009</v>
      </c>
      <c r="R403" s="33">
        <f t="shared" ref="R403:R405" si="648">IF(G403=100,L403,Q403)</f>
        <v>0.72800000000000009</v>
      </c>
      <c r="S403" s="33">
        <f t="shared" ref="S403:S404" si="649">100*L403/Q403</f>
        <v>0</v>
      </c>
      <c r="T403" s="33">
        <f t="shared" ref="T403:T405" si="650">R403</f>
        <v>0.72800000000000009</v>
      </c>
      <c r="U403" s="33">
        <f t="shared" ref="U403:U405" si="651">L403</f>
        <v>0</v>
      </c>
      <c r="V403" s="33">
        <f t="shared" ref="V403:V405" si="652">T403*H403%</f>
        <v>0.72800000000000009</v>
      </c>
      <c r="W403" s="33">
        <f t="shared" ref="W403:W405" si="653">T403*I403%</f>
        <v>0</v>
      </c>
      <c r="X403" s="33"/>
      <c r="Y403" s="33"/>
      <c r="Z403" s="33"/>
      <c r="AA403" s="33"/>
    </row>
    <row r="404" spans="1:27" x14ac:dyDescent="0.25">
      <c r="A404" s="82">
        <f>'NELIOTA (p&lt;0.5)'!A447</f>
        <v>44656</v>
      </c>
      <c r="B404" s="58" t="str">
        <f>'NELIOTA (p&lt;0.5)'!B447</f>
        <v>20:15-22:20</v>
      </c>
      <c r="C404" s="59">
        <f>'NELIOTA (p&lt;0.5)'!C447</f>
        <v>0.19400000000000001</v>
      </c>
      <c r="D404" s="120">
        <f>'NELIOTA (p&lt;0.5)'!D447</f>
        <v>72</v>
      </c>
      <c r="E404" s="120" t="str">
        <f>'NELIOTA (p&lt;0.5)'!F447</f>
        <v>good</v>
      </c>
      <c r="F404" s="58"/>
      <c r="G404" s="8">
        <f>'NELIOTA (p&lt;0.5)'!H447</f>
        <v>72</v>
      </c>
      <c r="H404" s="8">
        <f>'NELIOTA (p&lt;0.5)'!I447</f>
        <v>28</v>
      </c>
      <c r="I404" s="8">
        <f>'NELIOTA (p&lt;0.5)'!J447</f>
        <v>0</v>
      </c>
      <c r="J404" s="82"/>
      <c r="K404" s="102">
        <f>'NELIOTA (p&lt;0.5)'!M447</f>
        <v>3849.58</v>
      </c>
      <c r="L404" s="93">
        <f t="shared" si="645"/>
        <v>1.0693277777777777</v>
      </c>
      <c r="N404" s="11">
        <v>2</v>
      </c>
      <c r="O404" s="11">
        <v>22.8</v>
      </c>
      <c r="P404" s="9">
        <f t="shared" si="646"/>
        <v>2.38</v>
      </c>
      <c r="Q404" s="9">
        <f t="shared" si="647"/>
        <v>1.48512</v>
      </c>
      <c r="R404" s="9">
        <f t="shared" si="648"/>
        <v>1.48512</v>
      </c>
      <c r="S404" s="9">
        <f t="shared" si="649"/>
        <v>72.002786157197917</v>
      </c>
      <c r="T404" s="9">
        <f t="shared" si="650"/>
        <v>1.48512</v>
      </c>
      <c r="U404" s="9">
        <f t="shared" si="651"/>
        <v>1.0693277777777777</v>
      </c>
      <c r="V404" s="9">
        <f t="shared" si="652"/>
        <v>0.41583360000000003</v>
      </c>
      <c r="W404" s="9">
        <f t="shared" si="653"/>
        <v>0</v>
      </c>
      <c r="X404" s="9"/>
      <c r="Y404" s="9"/>
      <c r="Z404" s="9"/>
      <c r="AA404" s="9"/>
    </row>
    <row r="405" spans="1:27" x14ac:dyDescent="0.25">
      <c r="A405" s="82">
        <f>'NELIOTA (p&lt;0.5)'!A448</f>
        <v>44657</v>
      </c>
      <c r="B405" s="58" t="str">
        <f>'NELIOTA (p&lt;0.5)'!B448</f>
        <v>20:15-23:20</v>
      </c>
      <c r="C405" s="59">
        <f>'NELIOTA (p&lt;0.5)'!C448</f>
        <v>0.27800000000000002</v>
      </c>
      <c r="D405" s="120">
        <f>'NELIOTA (p&lt;0.5)'!D448</f>
        <v>12</v>
      </c>
      <c r="E405" s="120" t="str">
        <f>'NELIOTA (p&lt;0.5)'!F448</f>
        <v>moderate</v>
      </c>
      <c r="F405" s="58"/>
      <c r="G405" s="8">
        <f>'NELIOTA (p&lt;0.5)'!H448</f>
        <v>12</v>
      </c>
      <c r="H405" s="8">
        <f>'NELIOTA (p&lt;0.5)'!I448</f>
        <v>88</v>
      </c>
      <c r="I405" s="8">
        <f>'NELIOTA (p&lt;0.5)'!J448</f>
        <v>0</v>
      </c>
      <c r="J405" s="82"/>
      <c r="K405" s="102">
        <f>'NELIOTA (p&lt;0.5)'!M448</f>
        <v>997.81</v>
      </c>
      <c r="L405" s="93">
        <f t="shared" si="645"/>
        <v>0.27716944444444441</v>
      </c>
      <c r="N405" s="11">
        <v>3</v>
      </c>
      <c r="O405" s="11">
        <v>42</v>
      </c>
      <c r="P405" s="9">
        <f t="shared" si="646"/>
        <v>3.7</v>
      </c>
      <c r="Q405" s="9">
        <f t="shared" si="647"/>
        <v>2.3088000000000002</v>
      </c>
      <c r="R405" s="9">
        <f t="shared" si="648"/>
        <v>2.3088000000000002</v>
      </c>
      <c r="S405" s="9">
        <f>100*L405/Q405</f>
        <v>12.004913567413565</v>
      </c>
      <c r="T405" s="9">
        <f t="shared" si="650"/>
        <v>2.3088000000000002</v>
      </c>
      <c r="U405" s="9">
        <f t="shared" si="651"/>
        <v>0.27716944444444441</v>
      </c>
      <c r="V405" s="9">
        <f t="shared" si="652"/>
        <v>2.0317440000000002</v>
      </c>
      <c r="W405" s="9">
        <f t="shared" si="653"/>
        <v>0</v>
      </c>
    </row>
    <row r="406" spans="1:27" x14ac:dyDescent="0.25">
      <c r="A406" s="82">
        <f>'NELIOTA (p&lt;0.5)'!A449</f>
        <v>44658</v>
      </c>
      <c r="B406" s="58" t="str">
        <f>'NELIOTA (p&lt;0.5)'!B449</f>
        <v>20:15-00:15</v>
      </c>
      <c r="C406" s="59">
        <f>'NELIOTA (p&lt;0.5)'!C449</f>
        <v>0.37</v>
      </c>
      <c r="D406" s="120">
        <f>'NELIOTA (p&lt;0.5)'!D449</f>
        <v>38</v>
      </c>
      <c r="E406" s="120" t="str">
        <f>'NELIOTA (p&lt;0.5)'!F449</f>
        <v>moderate - bad</v>
      </c>
      <c r="F406" s="58"/>
      <c r="G406" s="8">
        <f>'NELIOTA (p&lt;0.5)'!H449</f>
        <v>38</v>
      </c>
      <c r="H406" s="8">
        <f>'NELIOTA (p&lt;0.5)'!I449</f>
        <v>62</v>
      </c>
      <c r="I406" s="8">
        <f>'NELIOTA (p&lt;0.5)'!J449</f>
        <v>0</v>
      </c>
      <c r="J406" s="82"/>
      <c r="K406" s="102">
        <f>'NELIOTA (p&lt;0.5)'!M449</f>
        <v>4015.0639999999999</v>
      </c>
      <c r="L406" s="93">
        <f t="shared" ref="L406" si="654">K406/3600</f>
        <v>1.1152955555555555</v>
      </c>
      <c r="N406" s="11">
        <v>4</v>
      </c>
      <c r="O406" s="11">
        <v>42.2</v>
      </c>
      <c r="P406" s="9">
        <f t="shared" ref="P406" si="655">N406+O406/60</f>
        <v>4.7033333333333331</v>
      </c>
      <c r="Q406" s="9">
        <f t="shared" ref="Q406" si="656">P406*62.4%</f>
        <v>2.9348799999999997</v>
      </c>
      <c r="R406" s="9">
        <f t="shared" ref="R406" si="657">IF(G406=100,L406,Q406)</f>
        <v>2.9348799999999997</v>
      </c>
      <c r="S406" s="9">
        <f>100*L406/Q406</f>
        <v>38.001402290913276</v>
      </c>
      <c r="T406" s="9">
        <f t="shared" ref="T406" si="658">R406</f>
        <v>2.9348799999999997</v>
      </c>
      <c r="U406" s="9">
        <f t="shared" ref="U406" si="659">L406</f>
        <v>1.1152955555555555</v>
      </c>
      <c r="V406" s="9">
        <f t="shared" ref="V406" si="660">T406*H406%</f>
        <v>1.8196255999999997</v>
      </c>
      <c r="W406" s="9">
        <f t="shared" ref="W406" si="661">T406*I406%</f>
        <v>0</v>
      </c>
      <c r="X406" s="9">
        <f>SUM(U403:U406)</f>
        <v>2.4617927777777773</v>
      </c>
      <c r="Y406" s="9">
        <f>100*X406/SUM(T403:T406)</f>
        <v>33.014064716470571</v>
      </c>
      <c r="Z406" s="9">
        <f>100*SUM(V403:V406)/SUM(T403:T406)</f>
        <v>66.988563458856362</v>
      </c>
      <c r="AA406" s="9">
        <f>100*SUM(W403:W406)/SUM(T403:T406)</f>
        <v>0</v>
      </c>
    </row>
    <row r="407" spans="1:27" s="48" customFormat="1" x14ac:dyDescent="0.25">
      <c r="A407" s="94">
        <f>'NELIOTA (p&lt;0.5)'!A453</f>
        <v>44685</v>
      </c>
      <c r="B407" s="62" t="str">
        <f>'NELIOTA (p&lt;0.5)'!B453</f>
        <v>20:40-22:05</v>
      </c>
      <c r="C407" s="63">
        <f>'NELIOTA (p&lt;0.5)'!C453</f>
        <v>0.13900000000000001</v>
      </c>
      <c r="D407" s="172">
        <f>'NELIOTA (p&lt;0.5)'!D453</f>
        <v>0</v>
      </c>
      <c r="E407" s="172" t="str">
        <f>'NELIOTA (p&lt;0.5)'!F453</f>
        <v>Cloudiness</v>
      </c>
      <c r="F407" s="62"/>
      <c r="G407" s="24">
        <f>'NELIOTA (p&lt;0.5)'!H453</f>
        <v>0</v>
      </c>
      <c r="H407" s="24">
        <f>'NELIOTA (p&lt;0.5)'!I453</f>
        <v>100</v>
      </c>
      <c r="I407" s="24">
        <f>'NELIOTA (p&lt;0.5)'!J453</f>
        <v>0</v>
      </c>
      <c r="J407" s="94"/>
      <c r="K407" s="100">
        <f>'NELIOTA (p&lt;0.5)'!M453</f>
        <v>0</v>
      </c>
      <c r="L407" s="92">
        <f t="shared" ref="L407" si="662">K407/3600</f>
        <v>0</v>
      </c>
      <c r="N407" s="47">
        <v>1</v>
      </c>
      <c r="O407" s="47">
        <v>25</v>
      </c>
      <c r="P407" s="33">
        <f t="shared" ref="P407" si="663">N407+O407/60</f>
        <v>1.4166666666666667</v>
      </c>
      <c r="Q407" s="33">
        <f t="shared" ref="Q407" si="664">P407*62.4%</f>
        <v>0.88400000000000001</v>
      </c>
      <c r="R407" s="33">
        <f t="shared" ref="R407" si="665">IF(G407=100,L407,Q407)</f>
        <v>0.88400000000000001</v>
      </c>
      <c r="S407" s="33">
        <f>100*L407/Q407</f>
        <v>0</v>
      </c>
      <c r="T407" s="33">
        <f t="shared" ref="T407" si="666">R407</f>
        <v>0.88400000000000001</v>
      </c>
      <c r="U407" s="33">
        <f t="shared" ref="U407" si="667">L407</f>
        <v>0</v>
      </c>
      <c r="V407" s="33">
        <f t="shared" ref="V407" si="668">T407*H407%</f>
        <v>0.88400000000000001</v>
      </c>
      <c r="W407" s="33">
        <f t="shared" ref="W407" si="669">T407*I407%</f>
        <v>0</v>
      </c>
    </row>
    <row r="408" spans="1:27" x14ac:dyDescent="0.25">
      <c r="A408" s="82">
        <f>'NELIOTA (p&lt;0.5)'!A454</f>
        <v>44686</v>
      </c>
      <c r="B408" s="58" t="str">
        <f>'NELIOTA (p&lt;0.5)'!B454</f>
        <v>20:40-22:55</v>
      </c>
      <c r="C408" s="59">
        <f>'NELIOTA (p&lt;0.5)'!C454</f>
        <v>0.214</v>
      </c>
      <c r="D408" s="120">
        <f>'NELIOTA (p&lt;0.5)'!D454</f>
        <v>33</v>
      </c>
      <c r="E408" s="120" t="str">
        <f>'NELIOTA (p&lt;0.5)'!F454</f>
        <v>very good</v>
      </c>
      <c r="F408" s="58"/>
      <c r="G408" s="8">
        <f>'NELIOTA (p&lt;0.5)'!H454</f>
        <v>33</v>
      </c>
      <c r="H408" s="8">
        <f>'NELIOTA (p&lt;0.5)'!I454</f>
        <v>67</v>
      </c>
      <c r="I408" s="8">
        <f>'NELIOTA (p&lt;0.5)'!J454</f>
        <v>0</v>
      </c>
      <c r="J408" s="82"/>
      <c r="K408" s="102">
        <f>'NELIOTA (p&lt;0.5)'!M454</f>
        <v>2066.8029999999999</v>
      </c>
      <c r="L408" s="93">
        <f t="shared" ref="L408" si="670">K408/3600</f>
        <v>0.57411194444444447</v>
      </c>
      <c r="N408" s="11">
        <v>2</v>
      </c>
      <c r="O408" s="11">
        <v>47.3</v>
      </c>
      <c r="P408" s="9">
        <f t="shared" ref="P408" si="671">N408+O408/60</f>
        <v>2.7883333333333331</v>
      </c>
      <c r="Q408" s="9">
        <f t="shared" ref="Q408" si="672">P408*62.4%</f>
        <v>1.7399199999999999</v>
      </c>
      <c r="R408" s="9">
        <f t="shared" ref="R408" si="673">IF(G408=100,L408,Q408)</f>
        <v>1.7399199999999999</v>
      </c>
      <c r="S408" s="9">
        <f>100*L408/Q408</f>
        <v>32.996456414343449</v>
      </c>
      <c r="T408" s="9">
        <f t="shared" ref="T408" si="674">R408</f>
        <v>1.7399199999999999</v>
      </c>
      <c r="U408" s="9">
        <f t="shared" ref="U408" si="675">L408</f>
        <v>0.57411194444444447</v>
      </c>
      <c r="V408" s="9">
        <f t="shared" ref="V408" si="676">T408*H408%</f>
        <v>1.1657464</v>
      </c>
      <c r="W408" s="9">
        <f t="shared" ref="W408" si="677">T408*I408%</f>
        <v>0</v>
      </c>
    </row>
    <row r="409" spans="1:27" x14ac:dyDescent="0.25">
      <c r="A409" s="82">
        <f>'NELIOTA (p&lt;0.5)'!A455</f>
        <v>44687</v>
      </c>
      <c r="B409" s="58" t="str">
        <f>'NELIOTA (p&lt;0.5)'!B455</f>
        <v>20:40-23:45</v>
      </c>
      <c r="C409" s="59">
        <f>'NELIOTA (p&lt;0.5)'!C455</f>
        <v>0.29899999999999999</v>
      </c>
      <c r="D409" s="120">
        <f>'NELIOTA (p&lt;0.5)'!D455</f>
        <v>0</v>
      </c>
      <c r="E409" s="120" t="str">
        <f>'NELIOTA (p&lt;0.5)'!F455</f>
        <v>Cloudiness</v>
      </c>
      <c r="F409" s="58"/>
      <c r="G409" s="8">
        <f>'NELIOTA (p&lt;0.5)'!H455</f>
        <v>0</v>
      </c>
      <c r="H409" s="8">
        <f>'NELIOTA (p&lt;0.5)'!I455</f>
        <v>100</v>
      </c>
      <c r="I409" s="8">
        <f>'NELIOTA (p&lt;0.5)'!J455</f>
        <v>0</v>
      </c>
      <c r="J409" s="82"/>
      <c r="K409" s="102">
        <f>'NELIOTA (p&lt;0.5)'!M455</f>
        <v>0</v>
      </c>
      <c r="L409" s="93">
        <f t="shared" ref="L409:L412" si="678">K409/3600</f>
        <v>0</v>
      </c>
      <c r="N409" s="11">
        <v>3</v>
      </c>
      <c r="O409" s="11">
        <v>5</v>
      </c>
      <c r="P409" s="9">
        <f t="shared" ref="P409:P412" si="679">N409+O409/60</f>
        <v>3.0833333333333335</v>
      </c>
      <c r="Q409" s="9">
        <f t="shared" ref="Q409:Q412" si="680">P409*62.4%</f>
        <v>1.9240000000000002</v>
      </c>
      <c r="R409" s="9">
        <f t="shared" ref="R409:R412" si="681">IF(G409=100,L409,Q409)</f>
        <v>1.9240000000000002</v>
      </c>
      <c r="S409" s="9">
        <f t="shared" ref="S409:S411" si="682">100*L409/Q409</f>
        <v>0</v>
      </c>
      <c r="T409" s="9">
        <f t="shared" ref="T409:T412" si="683">R409</f>
        <v>1.9240000000000002</v>
      </c>
      <c r="U409" s="9">
        <f t="shared" ref="U409:U412" si="684">L409</f>
        <v>0</v>
      </c>
      <c r="V409" s="9">
        <f t="shared" ref="V409:V412" si="685">T409*H409%</f>
        <v>1.9240000000000002</v>
      </c>
      <c r="W409" s="9">
        <f t="shared" ref="W409:W412" si="686">T409*I409%</f>
        <v>0</v>
      </c>
    </row>
    <row r="410" spans="1:27" x14ac:dyDescent="0.25">
      <c r="A410" s="82">
        <f>'NELIOTA (p&lt;0.5)'!A456</f>
        <v>44688</v>
      </c>
      <c r="B410" s="58" t="str">
        <f>'NELIOTA (p&lt;0.5)'!B456</f>
        <v>20:40-00:25</v>
      </c>
      <c r="C410" s="59">
        <f>'NELIOTA (p&lt;0.5)'!C456</f>
        <v>0.39200000000000002</v>
      </c>
      <c r="D410" s="120">
        <f>'NELIOTA (p&lt;0.5)'!D456</f>
        <v>22</v>
      </c>
      <c r="E410" s="120" t="str">
        <f>'NELIOTA (p&lt;0.5)'!F456</f>
        <v>good</v>
      </c>
      <c r="F410" s="58"/>
      <c r="G410" s="8">
        <f>'NELIOTA (p&lt;0.5)'!H456</f>
        <v>22</v>
      </c>
      <c r="H410" s="8">
        <f>'NELIOTA (p&lt;0.5)'!I456</f>
        <v>78</v>
      </c>
      <c r="I410" s="8">
        <f>'NELIOTA (p&lt;0.5)'!J456</f>
        <v>0</v>
      </c>
      <c r="J410" s="82"/>
      <c r="K410" s="102">
        <f>'NELIOTA (p&lt;0.5)'!M456</f>
        <v>2086.9</v>
      </c>
      <c r="L410" s="93">
        <f t="shared" si="678"/>
        <v>0.57969444444444451</v>
      </c>
      <c r="N410" s="11">
        <v>4</v>
      </c>
      <c r="O410" s="11">
        <v>13.5</v>
      </c>
      <c r="P410" s="9">
        <f t="shared" si="679"/>
        <v>4.2249999999999996</v>
      </c>
      <c r="Q410" s="9">
        <f t="shared" si="680"/>
        <v>2.6363999999999996</v>
      </c>
      <c r="R410" s="9">
        <f t="shared" si="681"/>
        <v>2.6363999999999996</v>
      </c>
      <c r="S410" s="9">
        <f t="shared" si="682"/>
        <v>21.988106677455793</v>
      </c>
      <c r="T410" s="9">
        <f t="shared" si="683"/>
        <v>2.6363999999999996</v>
      </c>
      <c r="U410" s="9">
        <f t="shared" si="684"/>
        <v>0.57969444444444451</v>
      </c>
      <c r="V410" s="9">
        <f t="shared" si="685"/>
        <v>2.0563919999999998</v>
      </c>
      <c r="W410" s="9">
        <f t="shared" si="686"/>
        <v>0</v>
      </c>
    </row>
    <row r="411" spans="1:27" x14ac:dyDescent="0.25">
      <c r="A411" s="82">
        <f>'NELIOTA (p&lt;0.5)'!A457</f>
        <v>44705</v>
      </c>
      <c r="B411" s="58" t="str">
        <f>'NELIOTA (p&lt;0.5)'!B457</f>
        <v>05:10-05:55</v>
      </c>
      <c r="C411" s="59">
        <f>'NELIOTA (p&lt;0.5)'!C457</f>
        <v>0.36099999999999999</v>
      </c>
      <c r="D411" s="120">
        <f>'NELIOTA (p&lt;0.5)'!D457</f>
        <v>100</v>
      </c>
      <c r="E411" s="120" t="str">
        <f>'NELIOTA (p&lt;0.5)'!F457</f>
        <v>very good</v>
      </c>
      <c r="F411" s="58"/>
      <c r="G411" s="8">
        <f>'NELIOTA (p&lt;0.5)'!H457</f>
        <v>100</v>
      </c>
      <c r="H411" s="8">
        <f>'NELIOTA (p&lt;0.5)'!I457</f>
        <v>0</v>
      </c>
      <c r="I411" s="8">
        <f>'NELIOTA (p&lt;0.5)'!J457</f>
        <v>0</v>
      </c>
      <c r="J411" s="82"/>
      <c r="K411" s="102">
        <f>'NELIOTA (p&lt;0.5)'!M457</f>
        <v>1532.28</v>
      </c>
      <c r="L411" s="93">
        <f t="shared" si="678"/>
        <v>0.42563333333333331</v>
      </c>
      <c r="N411" s="11">
        <v>0</v>
      </c>
      <c r="O411" s="11">
        <v>45</v>
      </c>
      <c r="P411" s="9">
        <f t="shared" si="679"/>
        <v>0.75</v>
      </c>
      <c r="Q411" s="9">
        <f t="shared" si="680"/>
        <v>0.46799999999999997</v>
      </c>
      <c r="R411" s="9">
        <f t="shared" si="681"/>
        <v>0.42563333333333331</v>
      </c>
      <c r="S411" s="9">
        <f t="shared" si="682"/>
        <v>90.947293447293447</v>
      </c>
      <c r="T411" s="9">
        <f t="shared" si="683"/>
        <v>0.42563333333333331</v>
      </c>
      <c r="U411" s="9">
        <f t="shared" si="684"/>
        <v>0.42563333333333331</v>
      </c>
      <c r="V411" s="9">
        <f t="shared" si="685"/>
        <v>0</v>
      </c>
      <c r="W411" s="9">
        <f t="shared" si="686"/>
        <v>0</v>
      </c>
    </row>
    <row r="412" spans="1:27" x14ac:dyDescent="0.25">
      <c r="A412" s="82">
        <f>'NELIOTA (p&lt;0.5)'!A458</f>
        <v>44706</v>
      </c>
      <c r="B412" s="58" t="str">
        <f>'NELIOTA (p&lt;0.5)'!B458</f>
        <v>05:30-05:55</v>
      </c>
      <c r="C412" s="59">
        <f>'NELIOTA (p&lt;0.5)'!C458</f>
        <v>0.26200000000000001</v>
      </c>
      <c r="D412" s="120">
        <f>'NELIOTA (p&lt;0.5)'!D458</f>
        <v>100</v>
      </c>
      <c r="E412" s="120" t="str">
        <f>'NELIOTA (p&lt;0.5)'!F458</f>
        <v>very good</v>
      </c>
      <c r="F412" s="58"/>
      <c r="G412" s="8">
        <f>'NELIOTA (p&lt;0.5)'!H458</f>
        <v>100</v>
      </c>
      <c r="H412" s="8">
        <f>'NELIOTA (p&lt;0.5)'!I458</f>
        <v>0</v>
      </c>
      <c r="I412" s="8">
        <f>'NELIOTA (p&lt;0.5)'!J458</f>
        <v>0</v>
      </c>
      <c r="J412" s="82"/>
      <c r="K412" s="102">
        <f>'NELIOTA (p&lt;0.5)'!M458</f>
        <v>1088.77</v>
      </c>
      <c r="L412" s="93">
        <f t="shared" si="678"/>
        <v>0.30243611111111113</v>
      </c>
      <c r="N412" s="11">
        <v>0</v>
      </c>
      <c r="O412" s="11">
        <v>29</v>
      </c>
      <c r="P412" s="9">
        <f t="shared" si="679"/>
        <v>0.48333333333333334</v>
      </c>
      <c r="Q412" s="9">
        <f t="shared" si="680"/>
        <v>0.30159999999999998</v>
      </c>
      <c r="R412" s="9">
        <f t="shared" si="681"/>
        <v>0.30243611111111113</v>
      </c>
      <c r="S412" s="9">
        <f t="shared" ref="S412:S417" si="687">100*L412/Q412</f>
        <v>100.27722516946656</v>
      </c>
      <c r="T412" s="9">
        <f t="shared" si="683"/>
        <v>0.30243611111111113</v>
      </c>
      <c r="U412" s="9">
        <f t="shared" si="684"/>
        <v>0.30243611111111113</v>
      </c>
      <c r="V412" s="9">
        <f t="shared" si="685"/>
        <v>0</v>
      </c>
      <c r="W412" s="9">
        <f t="shared" si="686"/>
        <v>0</v>
      </c>
      <c r="X412" s="9">
        <f>SUM(U407:U412)</f>
        <v>1.8818758333333334</v>
      </c>
      <c r="Y412" s="9">
        <f>100*X412/SUM(T407:T412)</f>
        <v>23.78391314718036</v>
      </c>
      <c r="Z412" s="9">
        <f>100*SUM(V407:V412)/SUM(T407:T412)</f>
        <v>76.211344781998363</v>
      </c>
      <c r="AA412" s="9">
        <f>100*SUM(W407:W412)/SUM(T407:T412)</f>
        <v>0</v>
      </c>
    </row>
    <row r="413" spans="1:27" s="48" customFormat="1" x14ac:dyDescent="0.25">
      <c r="A413" s="94">
        <f>'NELIOTA (p&lt;0.5)'!A459</f>
        <v>44714</v>
      </c>
      <c r="B413" s="62" t="str">
        <f>'NELIOTA (p&lt;0.5)'!B459</f>
        <v>21:10-22:20</v>
      </c>
      <c r="C413" s="63">
        <f>'NELIOTA (p&lt;0.5)'!C459</f>
        <v>9.6000000000000002E-2</v>
      </c>
      <c r="D413" s="172">
        <f>'NELIOTA (p&lt;0.5)'!D459</f>
        <v>41</v>
      </c>
      <c r="E413" s="172" t="str">
        <f>'NELIOTA (p&lt;0.5)'!F459</f>
        <v>very good</v>
      </c>
      <c r="F413" s="62"/>
      <c r="G413" s="24">
        <f>'NELIOTA (p&lt;0.5)'!H459</f>
        <v>41</v>
      </c>
      <c r="H413" s="24">
        <f>'NELIOTA (p&lt;0.5)'!I459</f>
        <v>59</v>
      </c>
      <c r="I413" s="24">
        <f>'NELIOTA (p&lt;0.5)'!J459</f>
        <v>0</v>
      </c>
      <c r="J413" s="94"/>
      <c r="K413" s="100">
        <f>'NELIOTA (p&lt;0.5)'!M459</f>
        <v>1504.75</v>
      </c>
      <c r="L413" s="92">
        <f t="shared" ref="L413" si="688">K413/3600</f>
        <v>0.41798611111111111</v>
      </c>
      <c r="N413" s="47">
        <v>1</v>
      </c>
      <c r="O413" s="47">
        <v>38</v>
      </c>
      <c r="P413" s="33">
        <f t="shared" ref="P413" si="689">N413+O413/60</f>
        <v>1.6333333333333333</v>
      </c>
      <c r="Q413" s="33">
        <f t="shared" ref="Q413" si="690">P413*62.4%</f>
        <v>1.0191999999999999</v>
      </c>
      <c r="R413" s="33">
        <f t="shared" ref="R413" si="691">IF(G413=100,L413,Q413)</f>
        <v>1.0191999999999999</v>
      </c>
      <c r="S413" s="33">
        <f t="shared" si="687"/>
        <v>41.011196145124721</v>
      </c>
      <c r="T413" s="33">
        <f t="shared" ref="T413" si="692">R413</f>
        <v>1.0191999999999999</v>
      </c>
      <c r="U413" s="33">
        <f t="shared" ref="U413" si="693">L413</f>
        <v>0.41798611111111111</v>
      </c>
      <c r="V413" s="33">
        <f t="shared" ref="V413" si="694">T413*H413%</f>
        <v>0.60132799999999986</v>
      </c>
      <c r="W413" s="33">
        <f t="shared" ref="W413" si="695">T413*I413%</f>
        <v>0</v>
      </c>
      <c r="X413" s="33"/>
      <c r="Y413" s="33"/>
      <c r="Z413" s="33"/>
      <c r="AA413" s="33"/>
    </row>
    <row r="414" spans="1:27" x14ac:dyDescent="0.25">
      <c r="A414" s="82">
        <f>'NELIOTA (p&lt;0.5)'!A460</f>
        <v>44715</v>
      </c>
      <c r="B414" s="58" t="str">
        <f>'NELIOTA (p&lt;0.5)'!B460</f>
        <v>21:10-22:55</v>
      </c>
      <c r="C414" s="59">
        <f>'NELIOTA (p&lt;0.5)'!C460</f>
        <v>0.161</v>
      </c>
      <c r="D414" s="120">
        <f>'NELIOTA (p&lt;0.5)'!D460</f>
        <v>100</v>
      </c>
      <c r="E414" s="120" t="str">
        <f>'NELIOTA (p&lt;0.5)'!F460</f>
        <v>very good</v>
      </c>
      <c r="F414" s="58"/>
      <c r="G414" s="8">
        <f>'NELIOTA (p&lt;0.5)'!H460</f>
        <v>100</v>
      </c>
      <c r="H414" s="8">
        <f>'NELIOTA (p&lt;0.5)'!I460</f>
        <v>0</v>
      </c>
      <c r="I414" s="8">
        <f>'NELIOTA (p&lt;0.5)'!J460</f>
        <v>0</v>
      </c>
      <c r="J414" s="82"/>
      <c r="K414" s="102">
        <f>'NELIOTA (p&lt;0.5)'!M460</f>
        <v>3600.9</v>
      </c>
      <c r="L414" s="93">
        <f t="shared" ref="L414" si="696">K414/3600</f>
        <v>1.0002500000000001</v>
      </c>
      <c r="N414" s="11">
        <v>1</v>
      </c>
      <c r="O414" s="11">
        <v>36.18</v>
      </c>
      <c r="P414" s="9">
        <f t="shared" ref="P414" si="697">N414+O414/60</f>
        <v>1.603</v>
      </c>
      <c r="Q414" s="9">
        <f t="shared" ref="Q414" si="698">P414*62.4%</f>
        <v>1.000272</v>
      </c>
      <c r="R414" s="9">
        <f t="shared" ref="R414" si="699">IF(G414=100,L414,Q414)</f>
        <v>1.0002500000000001</v>
      </c>
      <c r="S414" s="9">
        <f t="shared" si="687"/>
        <v>99.997800598237276</v>
      </c>
      <c r="T414" s="9">
        <f t="shared" ref="T414" si="700">R414</f>
        <v>1.0002500000000001</v>
      </c>
      <c r="U414" s="9">
        <f t="shared" ref="U414" si="701">L414</f>
        <v>1.0002500000000001</v>
      </c>
      <c r="V414" s="9">
        <f t="shared" ref="V414" si="702">T414*H414%</f>
        <v>0</v>
      </c>
      <c r="W414" s="9">
        <f t="shared" ref="W414" si="703">T414*I414%</f>
        <v>0</v>
      </c>
      <c r="X414" s="9"/>
      <c r="Y414" s="9"/>
      <c r="Z414" s="9"/>
      <c r="AA414" s="9"/>
    </row>
    <row r="415" spans="1:27" x14ac:dyDescent="0.25">
      <c r="A415" s="82">
        <f>'NELIOTA (p&lt;0.5)'!A461</f>
        <v>44716</v>
      </c>
      <c r="B415" s="58" t="str">
        <f>'NELIOTA (p&lt;0.5)'!B461</f>
        <v>21:10-23:55</v>
      </c>
      <c r="C415" s="59">
        <f>'NELIOTA (p&lt;0.5)'!C461</f>
        <v>0.23899999999999999</v>
      </c>
      <c r="D415" s="120">
        <f>'NELIOTA (p&lt;0.5)'!D461</f>
        <v>66</v>
      </c>
      <c r="E415" s="120" t="str">
        <f>'NELIOTA (p&lt;0.5)'!F461</f>
        <v>very good</v>
      </c>
      <c r="F415" s="58"/>
      <c r="G415" s="8">
        <f>'NELIOTA (p&lt;0.5)'!H461</f>
        <v>66</v>
      </c>
      <c r="H415" s="8">
        <f>'NELIOTA (p&lt;0.5)'!I461</f>
        <v>34</v>
      </c>
      <c r="I415" s="8">
        <f>'NELIOTA (p&lt;0.5)'!J461</f>
        <v>0</v>
      </c>
      <c r="J415" s="82"/>
      <c r="K415" s="102">
        <f>'NELIOTA (p&lt;0.5)'!M461</f>
        <v>4732.1099999999997</v>
      </c>
      <c r="L415" s="93">
        <f t="shared" ref="L415" si="704">K415/3600</f>
        <v>1.3144749999999998</v>
      </c>
      <c r="N415" s="11">
        <v>3</v>
      </c>
      <c r="O415" s="11">
        <v>11.5</v>
      </c>
      <c r="P415" s="9">
        <f t="shared" ref="P415" si="705">N415+O415/60</f>
        <v>3.1916666666666669</v>
      </c>
      <c r="Q415" s="9">
        <f t="shared" ref="Q415" si="706">P415*62.4%</f>
        <v>1.9916</v>
      </c>
      <c r="R415" s="9">
        <f t="shared" ref="R415" si="707">IF(G415=100,L415,Q415)</f>
        <v>1.9916</v>
      </c>
      <c r="S415" s="9">
        <f t="shared" si="687"/>
        <v>66.000954006828678</v>
      </c>
      <c r="T415" s="9">
        <f t="shared" ref="T415" si="708">R415</f>
        <v>1.9916</v>
      </c>
      <c r="U415" s="9">
        <f t="shared" ref="U415" si="709">L415</f>
        <v>1.3144749999999998</v>
      </c>
      <c r="V415" s="9">
        <f t="shared" ref="V415" si="710">T415*H415%</f>
        <v>0.67714400000000008</v>
      </c>
      <c r="W415" s="9">
        <f t="shared" ref="W415" si="711">T415*I415%</f>
        <v>0</v>
      </c>
      <c r="X415" s="9"/>
      <c r="Y415" s="9"/>
      <c r="Z415" s="9"/>
      <c r="AA415" s="9"/>
    </row>
    <row r="416" spans="1:27" x14ac:dyDescent="0.25">
      <c r="A416" s="82">
        <f>'NELIOTA (p&lt;0.5)'!A462</f>
        <v>44717</v>
      </c>
      <c r="B416" s="58" t="str">
        <f>'NELIOTA (p&lt;0.5)'!B462</f>
        <v>21:10-00:25</v>
      </c>
      <c r="C416" s="59">
        <f>'NELIOTA (p&lt;0.5)'!C462</f>
        <v>0.32800000000000001</v>
      </c>
      <c r="D416" s="120">
        <f>'NELIOTA (p&lt;0.5)'!D462</f>
        <v>45</v>
      </c>
      <c r="E416" s="120" t="str">
        <f>'NELIOTA (p&lt;0.5)'!F462</f>
        <v>good</v>
      </c>
      <c r="F416" s="58"/>
      <c r="G416" s="8">
        <f>'NELIOTA (p&lt;0.5)'!H462</f>
        <v>45</v>
      </c>
      <c r="H416" s="8">
        <f>'NELIOTA (p&lt;0.5)'!I462</f>
        <v>55</v>
      </c>
      <c r="I416" s="8">
        <f>'NELIOTA (p&lt;0.5)'!J462</f>
        <v>0</v>
      </c>
      <c r="J416" s="82"/>
      <c r="K416" s="102">
        <f>'NELIOTA (p&lt;0.5)'!M462</f>
        <v>3816.8960000000002</v>
      </c>
      <c r="L416" s="93">
        <f t="shared" ref="L416" si="712">K416/3600</f>
        <v>1.060248888888889</v>
      </c>
      <c r="N416" s="11">
        <v>3</v>
      </c>
      <c r="O416" s="11">
        <v>46.5</v>
      </c>
      <c r="P416" s="9">
        <f t="shared" ref="P416" si="713">N416+O416/60</f>
        <v>3.7749999999999999</v>
      </c>
      <c r="Q416" s="9">
        <f t="shared" ref="Q416" si="714">P416*62.4%</f>
        <v>2.3555999999999999</v>
      </c>
      <c r="R416" s="9">
        <f t="shared" ref="R416" si="715">IF(G416=100,L416,Q416)</f>
        <v>2.3555999999999999</v>
      </c>
      <c r="S416" s="9">
        <f t="shared" si="687"/>
        <v>45.009716797796273</v>
      </c>
      <c r="T416" s="9">
        <f t="shared" ref="T416" si="716">R416</f>
        <v>2.3555999999999999</v>
      </c>
      <c r="U416" s="9">
        <f t="shared" ref="U416" si="717">L416</f>
        <v>1.060248888888889</v>
      </c>
      <c r="V416" s="9">
        <f t="shared" ref="V416" si="718">T416*H416%</f>
        <v>1.29558</v>
      </c>
      <c r="W416" s="9">
        <f t="shared" ref="W416" si="719">T416*I416%</f>
        <v>0</v>
      </c>
      <c r="X416" s="9"/>
      <c r="Y416" s="9"/>
      <c r="Z416" s="9"/>
      <c r="AA416" s="9"/>
    </row>
    <row r="417" spans="1:27" x14ac:dyDescent="0.25">
      <c r="A417" s="82">
        <f>'NELIOTA (p&lt;0.5)'!A463</f>
        <v>44718</v>
      </c>
      <c r="B417" s="58" t="str">
        <f>'NELIOTA (p&lt;0.5)'!B463</f>
        <v>21:10-01:15</v>
      </c>
      <c r="C417" s="59">
        <f>'NELIOTA (p&lt;0.5)'!C463</f>
        <v>0.42499999999999999</v>
      </c>
      <c r="D417" s="120">
        <f>'NELIOTA (p&lt;0.5)'!D463</f>
        <v>0</v>
      </c>
      <c r="E417" s="120" t="str">
        <f>'NELIOTA (p&lt;0.5)'!F463</f>
        <v>Cloudiness</v>
      </c>
      <c r="F417" s="58"/>
      <c r="G417" s="8">
        <f>'NELIOTA (p&lt;0.5)'!H463</f>
        <v>0</v>
      </c>
      <c r="H417" s="8">
        <f>'NELIOTA (p&lt;0.5)'!I463</f>
        <v>100</v>
      </c>
      <c r="I417" s="8">
        <f>'NELIOTA (p&lt;0.5)'!J463</f>
        <v>0</v>
      </c>
      <c r="J417" s="82"/>
      <c r="K417" s="102">
        <f>'NELIOTA (p&lt;0.5)'!M463</f>
        <v>0</v>
      </c>
      <c r="L417" s="93">
        <f t="shared" ref="L417" si="720">K417/3600</f>
        <v>0</v>
      </c>
      <c r="N417" s="11">
        <v>3</v>
      </c>
      <c r="O417" s="11">
        <v>46.5</v>
      </c>
      <c r="P417" s="9">
        <f t="shared" ref="P417" si="721">N417+O417/60</f>
        <v>3.7749999999999999</v>
      </c>
      <c r="Q417" s="9">
        <f t="shared" ref="Q417" si="722">P417*62.4%</f>
        <v>2.3555999999999999</v>
      </c>
      <c r="R417" s="9">
        <f t="shared" ref="R417" si="723">IF(G417=100,L417,Q417)</f>
        <v>2.3555999999999999</v>
      </c>
      <c r="S417" s="9">
        <f t="shared" si="687"/>
        <v>0</v>
      </c>
      <c r="T417" s="9">
        <f t="shared" ref="T417" si="724">R417</f>
        <v>2.3555999999999999</v>
      </c>
      <c r="U417" s="9">
        <f t="shared" ref="U417" si="725">L417</f>
        <v>0</v>
      </c>
      <c r="V417" s="9">
        <f t="shared" ref="V417" si="726">T417*H417%</f>
        <v>2.3555999999999999</v>
      </c>
      <c r="W417" s="9">
        <f t="shared" ref="W417" si="727">T417*I417%</f>
        <v>0</v>
      </c>
      <c r="X417" s="9"/>
      <c r="Y417" s="9"/>
      <c r="Z417" s="9"/>
      <c r="AA417" s="9"/>
    </row>
    <row r="418" spans="1:27" x14ac:dyDescent="0.25">
      <c r="A418" s="82">
        <f>'NELIOTA (p&lt;0.5)'!A464</f>
        <v>44734</v>
      </c>
      <c r="B418" s="58" t="str">
        <f>'NELIOTA (p&lt;0.5)'!B464</f>
        <v>04:00-05:45</v>
      </c>
      <c r="C418" s="59">
        <f>'NELIOTA (p&lt;0.5)'!C464</f>
        <v>0.40600000000000003</v>
      </c>
      <c r="D418" s="120">
        <f>'NELIOTA (p&lt;0.5)'!D464</f>
        <v>100</v>
      </c>
      <c r="E418" s="120" t="str">
        <f>'NELIOTA (p&lt;0.5)'!F464</f>
        <v>very good</v>
      </c>
      <c r="F418" s="58"/>
      <c r="G418" s="8">
        <f>'NELIOTA (p&lt;0.5)'!H464</f>
        <v>100</v>
      </c>
      <c r="H418" s="8">
        <f>'NELIOTA (p&lt;0.5)'!I464</f>
        <v>0</v>
      </c>
      <c r="I418" s="8">
        <f>'NELIOTA (p&lt;0.5)'!J464</f>
        <v>0</v>
      </c>
      <c r="J418" s="82"/>
      <c r="K418" s="102">
        <f>'NELIOTA (p&lt;0.5)'!M464</f>
        <v>4126.7749999999996</v>
      </c>
      <c r="L418" s="93">
        <f t="shared" ref="L418" si="728">K418/3600</f>
        <v>1.1463263888888888</v>
      </c>
      <c r="N418" s="11">
        <v>1</v>
      </c>
      <c r="O418" s="11">
        <v>50.22</v>
      </c>
      <c r="P418" s="9">
        <f t="shared" ref="P418" si="729">N418+O418/60</f>
        <v>1.837</v>
      </c>
      <c r="Q418" s="9">
        <f t="shared" ref="Q418" si="730">P418*62.4%</f>
        <v>1.146288</v>
      </c>
      <c r="R418" s="9">
        <f t="shared" ref="R418" si="731">IF(G418=100,L418,Q418)</f>
        <v>1.1463263888888888</v>
      </c>
      <c r="S418" s="9">
        <f t="shared" ref="S418" si="732">100*L418/Q418</f>
        <v>100.00334897415735</v>
      </c>
      <c r="T418" s="9">
        <f t="shared" ref="T418" si="733">R418</f>
        <v>1.1463263888888888</v>
      </c>
      <c r="U418" s="9">
        <f t="shared" ref="U418" si="734">L418</f>
        <v>1.1463263888888888</v>
      </c>
      <c r="V418" s="9">
        <f t="shared" ref="V418" si="735">T418*H418%</f>
        <v>0</v>
      </c>
      <c r="W418" s="9">
        <f t="shared" ref="W418" si="736">T418*I418%</f>
        <v>0</v>
      </c>
      <c r="X418" s="9"/>
      <c r="Y418" s="9"/>
      <c r="Z418" s="9"/>
      <c r="AA418" s="9"/>
    </row>
    <row r="419" spans="1:27" x14ac:dyDescent="0.25">
      <c r="A419" s="82">
        <f>'NELIOTA (p&lt;0.5)'!A465</f>
        <v>44735</v>
      </c>
      <c r="B419" s="58" t="str">
        <f>'NELIOTA (p&lt;0.5)'!B465</f>
        <v>04:20-05:45</v>
      </c>
      <c r="C419" s="59">
        <f>'NELIOTA (p&lt;0.5)'!C465</f>
        <v>0.307</v>
      </c>
      <c r="D419" s="120">
        <f>'NELIOTA (p&lt;0.5)'!D465</f>
        <v>90</v>
      </c>
      <c r="E419" s="120" t="str">
        <f>'NELIOTA (p&lt;0.5)'!F465</f>
        <v>very good</v>
      </c>
      <c r="F419" s="58"/>
      <c r="G419" s="8">
        <f>'NELIOTA (p&lt;0.5)'!H465</f>
        <v>90</v>
      </c>
      <c r="H419" s="8">
        <f>'NELIOTA (p&lt;0.5)'!I465</f>
        <v>10</v>
      </c>
      <c r="I419" s="8">
        <f>'NELIOTA (p&lt;0.5)'!J465</f>
        <v>0</v>
      </c>
      <c r="J419" s="82"/>
      <c r="K419" s="102">
        <f>'NELIOTA (p&lt;0.5)'!M465</f>
        <v>3330.4920000000002</v>
      </c>
      <c r="L419" s="93">
        <f t="shared" ref="L419" si="737">K419/3600</f>
        <v>0.92513666666666672</v>
      </c>
      <c r="N419" s="11">
        <v>1</v>
      </c>
      <c r="O419" s="11">
        <v>38.799999999999997</v>
      </c>
      <c r="P419" s="9">
        <f t="shared" ref="P419" si="738">N419+O419/60</f>
        <v>1.6466666666666665</v>
      </c>
      <c r="Q419" s="9">
        <f t="shared" ref="Q419" si="739">P419*62.4%</f>
        <v>1.02752</v>
      </c>
      <c r="R419" s="9">
        <f t="shared" ref="R419" si="740">IF(G419=100,L419,Q419)</f>
        <v>1.02752</v>
      </c>
      <c r="S419" s="9">
        <f t="shared" ref="S419" si="741">100*L419/Q419</f>
        <v>90.035879269178864</v>
      </c>
      <c r="T419" s="9">
        <f t="shared" ref="T419" si="742">R419</f>
        <v>1.02752</v>
      </c>
      <c r="U419" s="9">
        <f t="shared" ref="U419" si="743">L419</f>
        <v>0.92513666666666672</v>
      </c>
      <c r="V419" s="9">
        <f t="shared" ref="V419" si="744">T419*H419%</f>
        <v>0.10275200000000001</v>
      </c>
      <c r="W419" s="9">
        <f t="shared" ref="W419" si="745">T419*I419%</f>
        <v>0</v>
      </c>
      <c r="X419" s="9"/>
      <c r="Y419" s="9"/>
      <c r="Z419" s="9"/>
      <c r="AA419" s="9"/>
    </row>
    <row r="420" spans="1:27" x14ac:dyDescent="0.25">
      <c r="A420" s="82">
        <f>'NELIOTA (p&lt;0.5)'!A466</f>
        <v>44736</v>
      </c>
      <c r="B420" s="58" t="str">
        <f>'NELIOTA (p&lt;0.5)'!B466</f>
        <v>04:50-05:45</v>
      </c>
      <c r="C420" s="59">
        <f>'NELIOTA (p&lt;0.5)'!C466</f>
        <v>0.218</v>
      </c>
      <c r="D420" s="120">
        <f>'NELIOTA (p&lt;0.5)'!D466</f>
        <v>100</v>
      </c>
      <c r="E420" s="120" t="str">
        <f>'NELIOTA (p&lt;0.5)'!F466</f>
        <v>very good</v>
      </c>
      <c r="F420" s="58"/>
      <c r="G420" s="8">
        <f>'NELIOTA (p&lt;0.5)'!H466</f>
        <v>100</v>
      </c>
      <c r="H420" s="8">
        <f>'NELIOTA (p&lt;0.5)'!I466</f>
        <v>0</v>
      </c>
      <c r="I420" s="8">
        <f>'NELIOTA (p&lt;0.5)'!J466</f>
        <v>0</v>
      </c>
      <c r="J420" s="82"/>
      <c r="K420" s="102">
        <f>'NELIOTA (p&lt;0.5)'!M466</f>
        <v>2082.44</v>
      </c>
      <c r="L420" s="93">
        <f t="shared" ref="L420" si="746">K420/3600</f>
        <v>0.57845555555555561</v>
      </c>
      <c r="N420" s="11">
        <v>0</v>
      </c>
      <c r="O420" s="11">
        <v>55.5</v>
      </c>
      <c r="P420" s="9">
        <f t="shared" ref="P420" si="747">N420+O420/60</f>
        <v>0.92500000000000004</v>
      </c>
      <c r="Q420" s="9">
        <f t="shared" ref="Q420" si="748">P420*62.4%</f>
        <v>0.57720000000000005</v>
      </c>
      <c r="R420" s="9">
        <f t="shared" ref="R420" si="749">IF(G420=100,L420,Q420)</f>
        <v>0.57845555555555561</v>
      </c>
      <c r="S420" s="9">
        <f t="shared" ref="S420" si="750">100*L420/Q420</f>
        <v>100.21752521752522</v>
      </c>
      <c r="T420" s="9">
        <f t="shared" ref="T420" si="751">R420</f>
        <v>0.57845555555555561</v>
      </c>
      <c r="U420" s="9">
        <f t="shared" ref="U420" si="752">L420</f>
        <v>0.57845555555555561</v>
      </c>
      <c r="V420" s="9">
        <f t="shared" ref="V420" si="753">T420*H420%</f>
        <v>0</v>
      </c>
      <c r="W420" s="9">
        <f t="shared" ref="W420" si="754">T420*I420%</f>
        <v>0</v>
      </c>
      <c r="X420" s="9"/>
      <c r="Y420" s="9"/>
      <c r="Z420" s="9"/>
      <c r="AA420" s="9"/>
    </row>
    <row r="421" spans="1:27" x14ac:dyDescent="0.25">
      <c r="A421" s="82">
        <f>'NELIOTA (p&lt;0.5)'!A467</f>
        <v>44737</v>
      </c>
      <c r="B421" s="58" t="str">
        <f>'NELIOTA (p&lt;0.5)'!B467</f>
        <v>05:15-05:45</v>
      </c>
      <c r="C421" s="59">
        <f>'NELIOTA (p&lt;0.5)'!C467</f>
        <v>0.14099999999999999</v>
      </c>
      <c r="D421" s="120">
        <f>'NELIOTA (p&lt;0.5)'!D467</f>
        <v>100</v>
      </c>
      <c r="E421" s="120" t="str">
        <f>'NELIOTA (p&lt;0.5)'!F467</f>
        <v>very good</v>
      </c>
      <c r="F421" s="58"/>
      <c r="G421" s="8">
        <f>'NELIOTA (p&lt;0.5)'!H467</f>
        <v>100</v>
      </c>
      <c r="H421" s="8">
        <f>'NELIOTA (p&lt;0.5)'!I467</f>
        <v>0</v>
      </c>
      <c r="I421" s="8">
        <f>'NELIOTA (p&lt;0.5)'!J467</f>
        <v>0</v>
      </c>
      <c r="J421" s="82"/>
      <c r="K421" s="102">
        <f>'NELIOTA (p&lt;0.5)'!M467</f>
        <v>1317.4169999999999</v>
      </c>
      <c r="L421" s="93">
        <f t="shared" ref="L421" si="755">K421/3600</f>
        <v>0.36594916666666666</v>
      </c>
      <c r="N421" s="11">
        <v>0</v>
      </c>
      <c r="O421" s="11">
        <v>35.18</v>
      </c>
      <c r="P421" s="9">
        <f t="shared" ref="P421" si="756">N421+O421/60</f>
        <v>0.58633333333333337</v>
      </c>
      <c r="Q421" s="9">
        <f t="shared" ref="Q421" si="757">P421*62.4%</f>
        <v>0.36587200000000003</v>
      </c>
      <c r="R421" s="9">
        <f t="shared" ref="R421" si="758">IF(G421=100,L421,Q421)</f>
        <v>0.36594916666666666</v>
      </c>
      <c r="S421" s="9">
        <f t="shared" ref="S421" si="759">100*L421/Q421</f>
        <v>100.02109116485181</v>
      </c>
      <c r="T421" s="9">
        <f t="shared" ref="T421" si="760">R421</f>
        <v>0.36594916666666666</v>
      </c>
      <c r="U421" s="9">
        <f t="shared" ref="U421" si="761">L421</f>
        <v>0.36594916666666666</v>
      </c>
      <c r="V421" s="9">
        <f t="shared" ref="V421" si="762">T421*H421%</f>
        <v>0</v>
      </c>
      <c r="W421" s="9">
        <f t="shared" ref="W421" si="763">T421*I421%</f>
        <v>0</v>
      </c>
      <c r="X421" s="9">
        <f>SUM(U413:U421)</f>
        <v>6.8088277777777773</v>
      </c>
      <c r="Y421" s="9">
        <f>100*X421/SUM(T413:T421)</f>
        <v>57.504557567993317</v>
      </c>
      <c r="Z421" s="9">
        <f>100*SUM(V413:V421)/SUM(T413:T421)</f>
        <v>42.501613342002884</v>
      </c>
      <c r="AA421" s="9">
        <f>100*SUM(W413:W421)/SUM(T413:T421)</f>
        <v>0</v>
      </c>
    </row>
    <row r="422" spans="1:27" s="187" customFormat="1" x14ac:dyDescent="0.25">
      <c r="A422" s="180">
        <f>'NELIOTA (p&lt;0.5)'!A468</f>
        <v>44744</v>
      </c>
      <c r="B422" s="181" t="str">
        <f>'NELIOTA (p&lt;0.5)'!B468</f>
        <v>21:15-22:00</v>
      </c>
      <c r="C422" s="182">
        <f>'NELIOTA (p&lt;0.5)'!C468</f>
        <v>0.11799999999999999</v>
      </c>
      <c r="D422" s="183">
        <f>'NELIOTA (p&lt;0.5)'!D468</f>
        <v>0</v>
      </c>
      <c r="E422" s="183">
        <f>'NELIOTA (p&lt;0.5)'!F468</f>
        <v>0</v>
      </c>
      <c r="F422" s="181"/>
      <c r="G422" s="184">
        <f>'NELIOTA (p&lt;0.5)'!H468</f>
        <v>0</v>
      </c>
      <c r="H422" s="184">
        <f>'NELIOTA (p&lt;0.5)'!I468</f>
        <v>0</v>
      </c>
      <c r="I422" s="184">
        <f>'NELIOTA (p&lt;0.5)'!J468</f>
        <v>100</v>
      </c>
      <c r="J422" s="180"/>
      <c r="K422" s="185">
        <f>'NELIOTA (p&lt;0.5)'!M468</f>
        <v>1.4166666666666667</v>
      </c>
      <c r="L422" s="186">
        <f t="shared" ref="L422:L425" si="764">K422/3600</f>
        <v>3.9351851851851852E-4</v>
      </c>
      <c r="N422" s="188">
        <v>0</v>
      </c>
      <c r="O422" s="188">
        <v>45</v>
      </c>
      <c r="P422" s="189">
        <f t="shared" ref="P422:P425" si="765">N422+O422/60</f>
        <v>0.75</v>
      </c>
      <c r="Q422" s="189">
        <f t="shared" ref="Q422:Q425" si="766">P422*62.4%</f>
        <v>0.46799999999999997</v>
      </c>
      <c r="R422" s="189">
        <f t="shared" ref="R422:R425" si="767">IF(G422=100,L422,Q422)</f>
        <v>0.46799999999999997</v>
      </c>
      <c r="S422" s="189">
        <f t="shared" ref="S422:S425" si="768">100*L422/Q422</f>
        <v>8.4085153529597986E-2</v>
      </c>
      <c r="T422" s="189">
        <f t="shared" ref="T422:T425" si="769">R422</f>
        <v>0.46799999999999997</v>
      </c>
      <c r="U422" s="189">
        <f t="shared" ref="U422:U425" si="770">L422</f>
        <v>3.9351851851851852E-4</v>
      </c>
      <c r="V422" s="189">
        <f t="shared" ref="V422:V425" si="771">T422*H422%</f>
        <v>0</v>
      </c>
      <c r="W422" s="189">
        <f t="shared" ref="W422:W425" si="772">T422*I422%</f>
        <v>0.46799999999999997</v>
      </c>
      <c r="X422" s="189"/>
      <c r="Y422" s="189"/>
      <c r="Z422" s="189"/>
      <c r="AA422" s="189"/>
    </row>
    <row r="423" spans="1:27" x14ac:dyDescent="0.25">
      <c r="A423" s="82">
        <f>'NELIOTA (p&lt;0.5)'!A469</f>
        <v>44745</v>
      </c>
      <c r="B423" s="58" t="str">
        <f>'NELIOTA (p&lt;0.5)'!B469</f>
        <v>21:15-22:55</v>
      </c>
      <c r="C423" s="59">
        <f>'NELIOTA (p&lt;0.5)'!C469</f>
        <v>0.189</v>
      </c>
      <c r="D423" s="120">
        <f>'NELIOTA (p&lt;0.5)'!D469</f>
        <v>0</v>
      </c>
      <c r="E423" s="120">
        <f>'NELIOTA (p&lt;0.5)'!F469</f>
        <v>0</v>
      </c>
      <c r="F423" s="58"/>
      <c r="G423" s="8">
        <f>'NELIOTA (p&lt;0.5)'!H469</f>
        <v>0</v>
      </c>
      <c r="H423" s="8">
        <f>'NELIOTA (p&lt;0.5)'!I469</f>
        <v>0</v>
      </c>
      <c r="I423" s="8">
        <f>'NELIOTA (p&lt;0.5)'!J469</f>
        <v>100</v>
      </c>
      <c r="J423" s="82"/>
      <c r="K423" s="102">
        <f>'NELIOTA (p&lt;0.5)'!M469</f>
        <v>0</v>
      </c>
      <c r="L423" s="93">
        <f t="shared" si="764"/>
        <v>0</v>
      </c>
      <c r="N423" s="11">
        <v>1</v>
      </c>
      <c r="O423" s="11">
        <v>40</v>
      </c>
      <c r="P423" s="9">
        <f t="shared" si="765"/>
        <v>1.6666666666666665</v>
      </c>
      <c r="Q423" s="9">
        <f t="shared" si="766"/>
        <v>1.0399999999999998</v>
      </c>
      <c r="R423" s="9">
        <f t="shared" si="767"/>
        <v>1.0399999999999998</v>
      </c>
      <c r="S423" s="9">
        <f t="shared" si="768"/>
        <v>0</v>
      </c>
      <c r="T423" s="9">
        <f t="shared" si="769"/>
        <v>1.0399999999999998</v>
      </c>
      <c r="U423" s="9">
        <f t="shared" si="770"/>
        <v>0</v>
      </c>
      <c r="V423" s="9">
        <f t="shared" si="771"/>
        <v>0</v>
      </c>
      <c r="W423" s="9">
        <f t="shared" si="772"/>
        <v>1.0399999999999998</v>
      </c>
      <c r="X423" s="9"/>
      <c r="Y423" s="9"/>
      <c r="Z423" s="9"/>
      <c r="AA423" s="9"/>
    </row>
    <row r="424" spans="1:27" x14ac:dyDescent="0.25">
      <c r="A424" s="82">
        <f>'NELIOTA (p&lt;0.5)'!A470</f>
        <v>44746</v>
      </c>
      <c r="B424" s="58" t="str">
        <f>'NELIOTA (p&lt;0.5)'!B470</f>
        <v>21:15-23:25</v>
      </c>
      <c r="C424" s="59">
        <f>'NELIOTA (p&lt;0.5)'!C470</f>
        <v>0.27400000000000002</v>
      </c>
      <c r="D424" s="120">
        <f>'NELIOTA (p&lt;0.5)'!D470</f>
        <v>0</v>
      </c>
      <c r="E424" s="120">
        <f>'NELIOTA (p&lt;0.5)'!F470</f>
        <v>0</v>
      </c>
      <c r="F424" s="58"/>
      <c r="G424" s="8">
        <f>'NELIOTA (p&lt;0.5)'!H470</f>
        <v>0</v>
      </c>
      <c r="H424" s="8">
        <f>'NELIOTA (p&lt;0.5)'!I470</f>
        <v>0</v>
      </c>
      <c r="I424" s="8">
        <f>'NELIOTA (p&lt;0.5)'!J470</f>
        <v>100</v>
      </c>
      <c r="J424" s="82"/>
      <c r="K424" s="102">
        <f>'NELIOTA (p&lt;0.5)'!M470</f>
        <v>0</v>
      </c>
      <c r="L424" s="93">
        <f t="shared" si="764"/>
        <v>0</v>
      </c>
      <c r="N424" s="11">
        <v>2</v>
      </c>
      <c r="O424" s="11">
        <v>10</v>
      </c>
      <c r="P424" s="9">
        <f t="shared" si="765"/>
        <v>2.1666666666666665</v>
      </c>
      <c r="Q424" s="9">
        <f t="shared" si="766"/>
        <v>1.3519999999999999</v>
      </c>
      <c r="R424" s="9">
        <f t="shared" si="767"/>
        <v>1.3519999999999999</v>
      </c>
      <c r="S424" s="9">
        <f t="shared" si="768"/>
        <v>0</v>
      </c>
      <c r="T424" s="9">
        <f t="shared" si="769"/>
        <v>1.3519999999999999</v>
      </c>
      <c r="U424" s="9">
        <f t="shared" si="770"/>
        <v>0</v>
      </c>
      <c r="V424" s="9">
        <f t="shared" si="771"/>
        <v>0</v>
      </c>
      <c r="W424" s="9">
        <f t="shared" si="772"/>
        <v>1.3519999999999999</v>
      </c>
      <c r="X424" s="9"/>
      <c r="Y424" s="9"/>
      <c r="Z424" s="9"/>
      <c r="AA424" s="9"/>
    </row>
    <row r="425" spans="1:27" x14ac:dyDescent="0.25">
      <c r="A425" s="82">
        <f>'NELIOTA (p&lt;0.5)'!A471</f>
        <v>44747</v>
      </c>
      <c r="B425" s="58" t="str">
        <f>'NELIOTA (p&lt;0.5)'!B471</f>
        <v>21:15-23:50</v>
      </c>
      <c r="C425" s="59">
        <f>'NELIOTA (p&lt;0.5)'!C471</f>
        <v>0.37</v>
      </c>
      <c r="D425" s="120">
        <f>'NELIOTA (p&lt;0.5)'!D471</f>
        <v>0</v>
      </c>
      <c r="E425" s="120">
        <f>'NELIOTA (p&lt;0.5)'!F471</f>
        <v>0</v>
      </c>
      <c r="F425" s="58"/>
      <c r="G425" s="8">
        <f>'NELIOTA (p&lt;0.5)'!H471</f>
        <v>0</v>
      </c>
      <c r="H425" s="8">
        <f>'NELIOTA (p&lt;0.5)'!I471</f>
        <v>0</v>
      </c>
      <c r="I425" s="8">
        <f>'NELIOTA (p&lt;0.5)'!J471</f>
        <v>100</v>
      </c>
      <c r="J425" s="82"/>
      <c r="K425" s="102">
        <f>'NELIOTA (p&lt;0.5)'!M471</f>
        <v>0</v>
      </c>
      <c r="L425" s="93">
        <f t="shared" si="764"/>
        <v>0</v>
      </c>
      <c r="N425" s="11">
        <v>2</v>
      </c>
      <c r="O425" s="11">
        <v>35.18</v>
      </c>
      <c r="P425" s="9">
        <f t="shared" si="765"/>
        <v>2.5863333333333332</v>
      </c>
      <c r="Q425" s="9">
        <f t="shared" si="766"/>
        <v>1.613872</v>
      </c>
      <c r="R425" s="9">
        <f t="shared" si="767"/>
        <v>1.613872</v>
      </c>
      <c r="S425" s="9">
        <f t="shared" si="768"/>
        <v>0</v>
      </c>
      <c r="T425" s="9">
        <f t="shared" si="769"/>
        <v>1.613872</v>
      </c>
      <c r="U425" s="9">
        <f t="shared" si="770"/>
        <v>0</v>
      </c>
      <c r="V425" s="9">
        <f t="shared" si="771"/>
        <v>0</v>
      </c>
      <c r="W425" s="9">
        <f t="shared" si="772"/>
        <v>1.613872</v>
      </c>
      <c r="X425" s="9"/>
      <c r="Y425" s="9"/>
      <c r="Z425" s="9"/>
      <c r="AA425" s="9"/>
    </row>
    <row r="426" spans="1:27" x14ac:dyDescent="0.25">
      <c r="A426" s="82">
        <f>'NELIOTA (p&lt;0.5)'!A473</f>
        <v>44764</v>
      </c>
      <c r="B426" s="58" t="str">
        <f>'NELIOTA (p&lt;0.5)'!B473</f>
        <v>03:20-06:00</v>
      </c>
      <c r="C426" s="59">
        <f>'NELIOTA (p&lt;0.5)'!C473</f>
        <v>0.36</v>
      </c>
      <c r="D426" s="120">
        <f>'NELIOTA (p&lt;0.5)'!D473</f>
        <v>100</v>
      </c>
      <c r="E426" s="120" t="str">
        <f>'NELIOTA (p&lt;0.5)'!F473</f>
        <v>very good</v>
      </c>
      <c r="F426" s="58"/>
      <c r="G426" s="8">
        <f>'NELIOTA (p&lt;0.5)'!H473</f>
        <v>100</v>
      </c>
      <c r="H426" s="8">
        <f>'NELIOTA (p&lt;0.5)'!I473</f>
        <v>0</v>
      </c>
      <c r="I426" s="8">
        <f>'NELIOTA (p&lt;0.5)'!J473</f>
        <v>0</v>
      </c>
      <c r="J426" s="82"/>
      <c r="K426" s="102">
        <f>'NELIOTA (p&lt;0.5)'!M473</f>
        <v>6013.81</v>
      </c>
      <c r="L426" s="93">
        <f t="shared" ref="L426:L430" si="773">K426/3600</f>
        <v>1.6705027777777779</v>
      </c>
      <c r="N426" s="11">
        <v>2</v>
      </c>
      <c r="O426" s="11">
        <v>40</v>
      </c>
      <c r="P426" s="9">
        <f t="shared" ref="P426:P430" si="774">N426+O426/60</f>
        <v>2.6666666666666665</v>
      </c>
      <c r="Q426" s="9">
        <f t="shared" ref="Q426:Q430" si="775">P426*62.4%</f>
        <v>1.6639999999999999</v>
      </c>
      <c r="R426" s="9">
        <f t="shared" ref="R426:R430" si="776">IF(G426=100,L426,Q426)</f>
        <v>1.6705027777777779</v>
      </c>
      <c r="S426" s="9">
        <f t="shared" ref="S426:S430" si="777">100*L426/Q426</f>
        <v>100.3907919337607</v>
      </c>
      <c r="T426" s="9">
        <f t="shared" ref="T426:T430" si="778">R426</f>
        <v>1.6705027777777779</v>
      </c>
      <c r="U426" s="9">
        <f t="shared" ref="U426:U430" si="779">L426</f>
        <v>1.6705027777777779</v>
      </c>
      <c r="V426" s="9">
        <f t="shared" ref="V426:V430" si="780">T426*H426%</f>
        <v>0</v>
      </c>
      <c r="W426" s="9">
        <f t="shared" ref="W426:W430" si="781">T426*I426%</f>
        <v>0</v>
      </c>
      <c r="X426" s="9"/>
      <c r="Y426" s="9"/>
      <c r="Z426" s="9"/>
      <c r="AA426" s="9"/>
    </row>
    <row r="427" spans="1:27" x14ac:dyDescent="0.25">
      <c r="A427" s="82">
        <f>'NELIOTA (p&lt;0.5)'!A474</f>
        <v>44765</v>
      </c>
      <c r="B427" s="58" t="str">
        <f>'NELIOTA (p&lt;0.5)'!B474</f>
        <v>03:50-06:00</v>
      </c>
      <c r="C427" s="59">
        <f>'NELIOTA (p&lt;0.5)'!C474</f>
        <v>0.26800000000000002</v>
      </c>
      <c r="D427" s="120">
        <f>'NELIOTA (p&lt;0.5)'!D474</f>
        <v>100</v>
      </c>
      <c r="E427" s="120" t="str">
        <f>'NELIOTA (p&lt;0.5)'!F474</f>
        <v>very good</v>
      </c>
      <c r="F427" s="58"/>
      <c r="G427" s="8">
        <f>'NELIOTA (p&lt;0.5)'!H474</f>
        <v>100</v>
      </c>
      <c r="H427" s="8">
        <f>'NELIOTA (p&lt;0.5)'!I474</f>
        <v>0</v>
      </c>
      <c r="I427" s="8">
        <f>'NELIOTA (p&lt;0.5)'!J474</f>
        <v>0</v>
      </c>
      <c r="J427" s="82"/>
      <c r="K427" s="102">
        <f>'NELIOTA (p&lt;0.5)'!M474</f>
        <v>4845.0190000000002</v>
      </c>
      <c r="L427" s="93">
        <f t="shared" si="773"/>
        <v>1.3458386111111111</v>
      </c>
      <c r="N427" s="11">
        <v>2</v>
      </c>
      <c r="O427" s="11">
        <v>10</v>
      </c>
      <c r="P427" s="9">
        <f t="shared" si="774"/>
        <v>2.1666666666666665</v>
      </c>
      <c r="Q427" s="9">
        <f t="shared" si="775"/>
        <v>1.3519999999999999</v>
      </c>
      <c r="R427" s="9">
        <f t="shared" si="776"/>
        <v>1.3458386111111111</v>
      </c>
      <c r="S427" s="9">
        <f t="shared" si="777"/>
        <v>99.54427596975674</v>
      </c>
      <c r="T427" s="9">
        <f t="shared" si="778"/>
        <v>1.3458386111111111</v>
      </c>
      <c r="U427" s="9">
        <f t="shared" si="779"/>
        <v>1.3458386111111111</v>
      </c>
      <c r="V427" s="9">
        <f t="shared" si="780"/>
        <v>0</v>
      </c>
      <c r="W427" s="9">
        <f t="shared" si="781"/>
        <v>0</v>
      </c>
      <c r="X427" s="9"/>
      <c r="Y427" s="9"/>
      <c r="Z427" s="9"/>
      <c r="AA427" s="9"/>
    </row>
    <row r="428" spans="1:27" x14ac:dyDescent="0.25">
      <c r="A428" s="82">
        <f>'NELIOTA (p&lt;0.5)'!A475</f>
        <v>44766</v>
      </c>
      <c r="B428" s="58" t="str">
        <f>'NELIOTA (p&lt;0.5)'!B475</f>
        <v>04:30-06:00</v>
      </c>
      <c r="C428" s="59">
        <f>'NELIOTA (p&lt;0.5)'!C475</f>
        <v>0.186</v>
      </c>
      <c r="D428" s="120">
        <f>'NELIOTA (p&lt;0.5)'!D475</f>
        <v>100</v>
      </c>
      <c r="E428" s="120" t="str">
        <f>'NELIOTA (p&lt;0.5)'!F475</f>
        <v>very good</v>
      </c>
      <c r="F428" s="58"/>
      <c r="G428" s="8">
        <f>'NELIOTA (p&lt;0.5)'!H475</f>
        <v>100</v>
      </c>
      <c r="H428" s="8">
        <f>'NELIOTA (p&lt;0.5)'!I475</f>
        <v>0</v>
      </c>
      <c r="I428" s="8">
        <f>'NELIOTA (p&lt;0.5)'!J475</f>
        <v>0</v>
      </c>
      <c r="J428" s="82"/>
      <c r="K428" s="102">
        <f>'NELIOTA (p&lt;0.5)'!M475</f>
        <v>3596.51</v>
      </c>
      <c r="L428" s="93">
        <f t="shared" si="773"/>
        <v>0.99903055555555564</v>
      </c>
      <c r="N428" s="11">
        <v>1</v>
      </c>
      <c r="O428" s="11">
        <v>30</v>
      </c>
      <c r="P428" s="9">
        <f t="shared" si="774"/>
        <v>1.5</v>
      </c>
      <c r="Q428" s="9">
        <f t="shared" si="775"/>
        <v>0.93599999999999994</v>
      </c>
      <c r="R428" s="9">
        <f t="shared" si="776"/>
        <v>0.99903055555555564</v>
      </c>
      <c r="S428" s="9">
        <f t="shared" si="777"/>
        <v>106.7340337132004</v>
      </c>
      <c r="T428" s="9">
        <f t="shared" si="778"/>
        <v>0.99903055555555564</v>
      </c>
      <c r="U428" s="9">
        <f t="shared" si="779"/>
        <v>0.99903055555555564</v>
      </c>
      <c r="V428" s="9">
        <f t="shared" si="780"/>
        <v>0</v>
      </c>
      <c r="W428" s="9">
        <f t="shared" si="781"/>
        <v>0</v>
      </c>
      <c r="X428" s="9"/>
      <c r="Y428" s="9"/>
      <c r="Z428" s="9"/>
      <c r="AA428" s="9"/>
    </row>
    <row r="429" spans="1:27" x14ac:dyDescent="0.25">
      <c r="A429" s="82">
        <f>'NELIOTA (p&lt;0.5)'!A476</f>
        <v>44767</v>
      </c>
      <c r="B429" s="58" t="str">
        <f>'NELIOTA (p&lt;0.5)'!B476</f>
        <v>05:10-06:00</v>
      </c>
      <c r="C429" s="59">
        <f>'NELIOTA (p&lt;0.5)'!C476</f>
        <v>0.11600000000000001</v>
      </c>
      <c r="D429" s="120">
        <f>'NELIOTA (p&lt;0.5)'!D476</f>
        <v>100</v>
      </c>
      <c r="E429" s="120" t="str">
        <f>'NELIOTA (p&lt;0.5)'!F476</f>
        <v>very good</v>
      </c>
      <c r="F429" s="58"/>
      <c r="G429" s="8">
        <f>'NELIOTA (p&lt;0.5)'!H476</f>
        <v>100</v>
      </c>
      <c r="H429" s="8">
        <f>'NELIOTA (p&lt;0.5)'!I476</f>
        <v>0</v>
      </c>
      <c r="I429" s="8">
        <f>'NELIOTA (p&lt;0.5)'!J476</f>
        <v>0</v>
      </c>
      <c r="J429" s="82"/>
      <c r="K429" s="102">
        <f>'NELIOTA (p&lt;0.5)'!M476</f>
        <v>2377.21</v>
      </c>
      <c r="L429" s="93">
        <f t="shared" si="773"/>
        <v>0.66033611111111112</v>
      </c>
      <c r="N429" s="11">
        <v>0</v>
      </c>
      <c r="O429" s="11">
        <v>50</v>
      </c>
      <c r="P429" s="9">
        <f t="shared" si="774"/>
        <v>0.83333333333333337</v>
      </c>
      <c r="Q429" s="9">
        <f t="shared" si="775"/>
        <v>0.52</v>
      </c>
      <c r="R429" s="9">
        <f t="shared" si="776"/>
        <v>0.66033611111111112</v>
      </c>
      <c r="S429" s="9">
        <f t="shared" si="777"/>
        <v>126.98771367521367</v>
      </c>
      <c r="T429" s="9">
        <f t="shared" si="778"/>
        <v>0.66033611111111112</v>
      </c>
      <c r="U429" s="9">
        <f t="shared" si="779"/>
        <v>0.66033611111111112</v>
      </c>
      <c r="V429" s="9">
        <f t="shared" si="780"/>
        <v>0</v>
      </c>
      <c r="W429" s="9">
        <f t="shared" si="781"/>
        <v>0</v>
      </c>
      <c r="X429" s="9">
        <f>SUM(U422:U429)</f>
        <v>4.6761015740740746</v>
      </c>
      <c r="Y429" s="9">
        <f>100*X429/SUM(T422:T429)</f>
        <v>51.107280833449643</v>
      </c>
      <c r="Z429" s="9">
        <f>100*SUM(V422:V429)/SUM(T422:T429)</f>
        <v>0</v>
      </c>
      <c r="AA429" s="9">
        <f>100*SUM(W422:W429)/SUM(T422:T429)</f>
        <v>48.897020112781014</v>
      </c>
    </row>
    <row r="430" spans="1:27" s="48" customFormat="1" x14ac:dyDescent="0.25">
      <c r="A430" s="94">
        <f>'NELIOTA (p&lt;0.5)'!A477</f>
        <v>44774</v>
      </c>
      <c r="B430" s="62" t="str">
        <f>'NELIOTA (p&lt;0.5)'!B477</f>
        <v>21:00-22:00</v>
      </c>
      <c r="C430" s="63">
        <f>'NELIOTA (p&lt;0.5)'!C477</f>
        <v>0.14899999999999999</v>
      </c>
      <c r="D430" s="172">
        <f>'NELIOTA (p&lt;0.5)'!D477</f>
        <v>47</v>
      </c>
      <c r="E430" s="172" t="str">
        <f>'NELIOTA (p&lt;0.5)'!F477</f>
        <v>moderate</v>
      </c>
      <c r="F430" s="62"/>
      <c r="G430" s="24">
        <f>'NELIOTA (p&lt;0.5)'!H477</f>
        <v>47</v>
      </c>
      <c r="H430" s="24">
        <f>'NELIOTA (p&lt;0.5)'!I477</f>
        <v>53</v>
      </c>
      <c r="I430" s="24">
        <f>'NELIOTA (p&lt;0.5)'!J477</f>
        <v>0</v>
      </c>
      <c r="J430" s="94"/>
      <c r="K430" s="100">
        <f>'NELIOTA (p&lt;0.5)'!M477</f>
        <v>1272.98</v>
      </c>
      <c r="L430" s="92">
        <f t="shared" si="773"/>
        <v>0.35360555555555556</v>
      </c>
      <c r="N430" s="47">
        <v>1</v>
      </c>
      <c r="O430" s="47">
        <v>12.3</v>
      </c>
      <c r="P430" s="33">
        <f t="shared" si="774"/>
        <v>1.2050000000000001</v>
      </c>
      <c r="Q430" s="33">
        <f t="shared" si="775"/>
        <v>0.75192000000000003</v>
      </c>
      <c r="R430" s="33">
        <f t="shared" si="776"/>
        <v>0.75192000000000003</v>
      </c>
      <c r="S430" s="33">
        <f t="shared" si="777"/>
        <v>47.027018240711186</v>
      </c>
      <c r="T430" s="33">
        <f t="shared" si="778"/>
        <v>0.75192000000000003</v>
      </c>
      <c r="U430" s="33">
        <f t="shared" si="779"/>
        <v>0.35360555555555556</v>
      </c>
      <c r="V430" s="33">
        <f t="shared" si="780"/>
        <v>0.39851760000000003</v>
      </c>
      <c r="W430" s="33">
        <f t="shared" si="781"/>
        <v>0</v>
      </c>
    </row>
    <row r="431" spans="1:27" x14ac:dyDescent="0.25">
      <c r="A431" s="82">
        <f>'NELIOTA (p&lt;0.5)'!A478</f>
        <v>44775</v>
      </c>
      <c r="B431" s="58" t="str">
        <f>'NELIOTA (p&lt;0.5)'!B478</f>
        <v>21:00-22:20</v>
      </c>
      <c r="C431" s="59">
        <f>'NELIOTA (p&lt;0.5)'!C478</f>
        <v>0.23</v>
      </c>
      <c r="D431" s="120">
        <f>'NELIOTA (p&lt;0.5)'!D478</f>
        <v>100</v>
      </c>
      <c r="E431" s="120" t="str">
        <f>'NELIOTA (p&lt;0.5)'!F478</f>
        <v>very good</v>
      </c>
      <c r="F431" s="58"/>
      <c r="G431" s="8">
        <f>'NELIOTA (p&lt;0.5)'!H478</f>
        <v>100</v>
      </c>
      <c r="H431" s="8">
        <f>'NELIOTA (p&lt;0.5)'!I478</f>
        <v>0</v>
      </c>
      <c r="I431" s="8">
        <f>'NELIOTA (p&lt;0.5)'!J478</f>
        <v>0</v>
      </c>
      <c r="J431" s="82"/>
      <c r="K431" s="102">
        <f>'NELIOTA (p&lt;0.5)'!M478</f>
        <v>2986.92</v>
      </c>
      <c r="L431" s="93">
        <f t="shared" ref="L431" si="782">K431/3600</f>
        <v>0.82969999999999999</v>
      </c>
      <c r="N431" s="11">
        <v>1</v>
      </c>
      <c r="O431" s="11">
        <v>19.78</v>
      </c>
      <c r="P431" s="9">
        <f t="shared" ref="P431" si="783">N431+O431/60</f>
        <v>1.3296666666666668</v>
      </c>
      <c r="Q431" s="9">
        <f t="shared" ref="Q431" si="784">P431*62.4%</f>
        <v>0.82971200000000012</v>
      </c>
      <c r="R431" s="9">
        <f t="shared" ref="R431" si="785">IF(G431=100,L431,Q431)</f>
        <v>0.82969999999999999</v>
      </c>
      <c r="S431" s="9">
        <f t="shared" ref="S431" si="786">100*L431/Q431</f>
        <v>99.998553715023988</v>
      </c>
      <c r="T431" s="9">
        <f t="shared" ref="T431" si="787">R431</f>
        <v>0.82969999999999999</v>
      </c>
      <c r="U431" s="9">
        <f t="shared" ref="U431" si="788">L431</f>
        <v>0.82969999999999999</v>
      </c>
      <c r="V431" s="9">
        <f t="shared" ref="V431" si="789">T431*H431%</f>
        <v>0</v>
      </c>
      <c r="W431" s="9">
        <f t="shared" ref="W431" si="790">T431*I431%</f>
        <v>0</v>
      </c>
    </row>
    <row r="432" spans="1:27" x14ac:dyDescent="0.25">
      <c r="A432" s="82">
        <f>'NELIOTA (p&lt;0.5)'!A479</f>
        <v>44776</v>
      </c>
      <c r="B432" s="58" t="str">
        <f>'NELIOTA (p&lt;0.5)'!B479</f>
        <v>21:00-22:40</v>
      </c>
      <c r="C432" s="59">
        <f>'NELIOTA (p&lt;0.5)'!C479</f>
        <v>0.32400000000000001</v>
      </c>
      <c r="D432" s="120">
        <f>'NELIOTA (p&lt;0.5)'!D479</f>
        <v>100</v>
      </c>
      <c r="E432" s="120" t="str">
        <f>'NELIOTA (p&lt;0.5)'!F479</f>
        <v xml:space="preserve"> good</v>
      </c>
      <c r="F432" s="58"/>
      <c r="G432" s="8">
        <f>'NELIOTA (p&lt;0.5)'!H479</f>
        <v>100</v>
      </c>
      <c r="H432" s="8">
        <f>'NELIOTA (p&lt;0.5)'!I479</f>
        <v>0</v>
      </c>
      <c r="I432" s="8">
        <f>'NELIOTA (p&lt;0.5)'!J479</f>
        <v>0</v>
      </c>
      <c r="J432" s="82"/>
      <c r="K432" s="102">
        <f>'NELIOTA (p&lt;0.5)'!M479</f>
        <v>3745.067</v>
      </c>
      <c r="L432" s="93">
        <f t="shared" ref="L432" si="791">K432/3600</f>
        <v>1.040296388888889</v>
      </c>
      <c r="N432" s="11">
        <v>1</v>
      </c>
      <c r="O432" s="11">
        <v>40.03</v>
      </c>
      <c r="P432" s="9">
        <f t="shared" ref="P432" si="792">N432+O432/60</f>
        <v>1.6671666666666667</v>
      </c>
      <c r="Q432" s="9">
        <f t="shared" ref="Q432" si="793">P432*62.4%</f>
        <v>1.0403119999999999</v>
      </c>
      <c r="R432" s="9">
        <f t="shared" ref="R432" si="794">IF(G432=100,L432,Q432)</f>
        <v>1.040296388888889</v>
      </c>
      <c r="S432" s="9">
        <f t="shared" ref="S432" si="795">100*L432/Q432</f>
        <v>99.99849938180941</v>
      </c>
      <c r="T432" s="9">
        <f t="shared" ref="T432" si="796">R432</f>
        <v>1.040296388888889</v>
      </c>
      <c r="U432" s="9">
        <f t="shared" ref="U432" si="797">L432</f>
        <v>1.040296388888889</v>
      </c>
      <c r="V432" s="9">
        <f t="shared" ref="V432" si="798">T432*H432%</f>
        <v>0</v>
      </c>
      <c r="W432" s="9">
        <f t="shared" ref="W432" si="799">T432*I432%</f>
        <v>0</v>
      </c>
    </row>
    <row r="433" spans="1:27" x14ac:dyDescent="0.25">
      <c r="A433" s="82">
        <f>'NELIOTA (p&lt;0.5)'!A480</f>
        <v>44777</v>
      </c>
      <c r="B433" s="58" t="str">
        <f>'NELIOTA (p&lt;0.5)'!B480</f>
        <v>21:00-23:00</v>
      </c>
      <c r="C433" s="59">
        <f>'NELIOTA (p&lt;0.5)'!C480</f>
        <v>0.42899999999999999</v>
      </c>
      <c r="D433" s="120">
        <f>'NELIOTA (p&lt;0.5)'!D480</f>
        <v>100</v>
      </c>
      <c r="E433" s="120" t="str">
        <f>'NELIOTA (p&lt;0.5)'!F480</f>
        <v>very good</v>
      </c>
      <c r="F433" s="58"/>
      <c r="G433" s="8">
        <f>'NELIOTA (p&lt;0.5)'!H480</f>
        <v>100</v>
      </c>
      <c r="H433" s="8">
        <f>'NELIOTA (p&lt;0.5)'!I480</f>
        <v>0</v>
      </c>
      <c r="I433" s="8">
        <f>'NELIOTA (p&lt;0.5)'!J480</f>
        <v>0</v>
      </c>
      <c r="J433" s="82"/>
      <c r="K433" s="102">
        <f>'NELIOTA (p&lt;0.5)'!M480</f>
        <v>4579.116</v>
      </c>
      <c r="L433" s="93">
        <f t="shared" ref="L433" si="800">K433/3600</f>
        <v>1.2719766666666668</v>
      </c>
      <c r="N433" s="11">
        <v>2</v>
      </c>
      <c r="O433" s="11">
        <v>2.2999999999999998</v>
      </c>
      <c r="P433" s="9">
        <f t="shared" ref="P433" si="801">N433+O433/60</f>
        <v>2.0383333333333331</v>
      </c>
      <c r="Q433" s="9">
        <f t="shared" ref="Q433" si="802">P433*62.4%</f>
        <v>1.2719199999999999</v>
      </c>
      <c r="R433" s="9">
        <f t="shared" ref="R433" si="803">IF(G433=100,L433,Q433)</f>
        <v>1.2719766666666668</v>
      </c>
      <c r="S433" s="9">
        <f t="shared" ref="S433" si="804">100*L433/Q433</f>
        <v>100.00445520682644</v>
      </c>
      <c r="T433" s="9">
        <f t="shared" ref="T433" si="805">R433</f>
        <v>1.2719766666666668</v>
      </c>
      <c r="U433" s="9">
        <f t="shared" ref="U433" si="806">L433</f>
        <v>1.2719766666666668</v>
      </c>
      <c r="V433" s="9">
        <f t="shared" ref="V433" si="807">T433*H433%</f>
        <v>0</v>
      </c>
      <c r="W433" s="9">
        <f t="shared" ref="W433" si="808">T433*I433%</f>
        <v>0</v>
      </c>
    </row>
    <row r="434" spans="1:27" x14ac:dyDescent="0.25">
      <c r="A434" s="82">
        <f>'NELIOTA (p&lt;0.5)'!A481</f>
        <v>44793</v>
      </c>
      <c r="B434" s="58" t="str">
        <f>'NELIOTA (p&lt;0.5)'!B481</f>
        <v>02:30-06:30</v>
      </c>
      <c r="C434" s="59">
        <f>'NELIOTA (p&lt;0.5)'!C481</f>
        <v>0.42399999999999999</v>
      </c>
      <c r="D434" s="120">
        <f>'NELIOTA (p&lt;0.5)'!D481</f>
        <v>100</v>
      </c>
      <c r="E434" s="120" t="str">
        <f>'NELIOTA (p&lt;0.5)'!F481</f>
        <v>very good</v>
      </c>
      <c r="F434" s="58"/>
      <c r="G434" s="8">
        <f>'NELIOTA (p&lt;0.5)'!H481</f>
        <v>100</v>
      </c>
      <c r="H434" s="8">
        <f>'NELIOTA (p&lt;0.5)'!I481</f>
        <v>0</v>
      </c>
      <c r="I434" s="8">
        <f>'NELIOTA (p&lt;0.5)'!J481</f>
        <v>0</v>
      </c>
      <c r="J434" s="82"/>
      <c r="K434" s="102">
        <f>'NELIOTA (p&lt;0.5)'!M481</f>
        <v>9028.3970000000008</v>
      </c>
      <c r="L434" s="93">
        <f t="shared" ref="L434" si="809">K434/3600</f>
        <v>2.5078880555555556</v>
      </c>
      <c r="N434" s="11">
        <v>4</v>
      </c>
      <c r="O434" s="11">
        <v>1.1499999999999999</v>
      </c>
      <c r="P434" s="9">
        <f t="shared" ref="P434" si="810">N434+O434/60</f>
        <v>4.019166666666667</v>
      </c>
      <c r="Q434" s="9">
        <f t="shared" ref="Q434" si="811">P434*62.4%</f>
        <v>2.5079600000000002</v>
      </c>
      <c r="R434" s="9">
        <f t="shared" ref="R434" si="812">IF(G434=100,L434,Q434)</f>
        <v>2.5078880555555556</v>
      </c>
      <c r="S434" s="9">
        <f t="shared" ref="S434" si="813">100*L434/Q434</f>
        <v>99.997131355984763</v>
      </c>
      <c r="T434" s="9">
        <f t="shared" ref="T434" si="814">R434</f>
        <v>2.5078880555555556</v>
      </c>
      <c r="U434" s="9">
        <f t="shared" ref="U434" si="815">L434</f>
        <v>2.5078880555555556</v>
      </c>
      <c r="V434" s="9">
        <f t="shared" ref="V434" si="816">T434*H434%</f>
        <v>0</v>
      </c>
      <c r="W434" s="9">
        <f t="shared" ref="W434" si="817">T434*I434%</f>
        <v>0</v>
      </c>
    </row>
    <row r="435" spans="1:27" x14ac:dyDescent="0.25">
      <c r="A435" s="82">
        <f>'NELIOTA (p&lt;0.5)'!A482</f>
        <v>44794</v>
      </c>
      <c r="B435" s="58" t="str">
        <f>'NELIOTA (p&lt;0.5)'!B482</f>
        <v>03:10-06:30</v>
      </c>
      <c r="C435" s="59">
        <f>'NELIOTA (p&lt;0.5)'!C482</f>
        <v>0.32800000000000001</v>
      </c>
      <c r="D435" s="120">
        <f>'NELIOTA (p&lt;0.5)'!D482</f>
        <v>100</v>
      </c>
      <c r="E435" s="120" t="str">
        <f>'NELIOTA (p&lt;0.5)'!F482</f>
        <v>very good</v>
      </c>
      <c r="F435" s="58"/>
      <c r="G435" s="8">
        <f>'NELIOTA (p&lt;0.5)'!H482</f>
        <v>100</v>
      </c>
      <c r="H435" s="8">
        <f>'NELIOTA (p&lt;0.5)'!I482</f>
        <v>0</v>
      </c>
      <c r="I435" s="8">
        <f>'NELIOTA (p&lt;0.5)'!J482</f>
        <v>0</v>
      </c>
      <c r="J435" s="82"/>
      <c r="K435" s="102">
        <f>'NELIOTA (p&lt;0.5)'!M482</f>
        <v>7671.098</v>
      </c>
      <c r="L435" s="93">
        <f t="shared" ref="L435" si="818">K435/3600</f>
        <v>2.1308605555555555</v>
      </c>
      <c r="N435" s="11">
        <v>3</v>
      </c>
      <c r="O435" s="11">
        <v>24.9</v>
      </c>
      <c r="P435" s="9">
        <f t="shared" ref="P435" si="819">N435+O435/60</f>
        <v>3.415</v>
      </c>
      <c r="Q435" s="9">
        <f t="shared" ref="Q435" si="820">P435*62.4%</f>
        <v>2.13096</v>
      </c>
      <c r="R435" s="9">
        <f t="shared" ref="R435" si="821">IF(G435=100,L435,Q435)</f>
        <v>2.1308605555555555</v>
      </c>
      <c r="S435" s="9">
        <f t="shared" ref="S435" si="822">100*L435/Q435</f>
        <v>99.995333350018569</v>
      </c>
      <c r="T435" s="9">
        <f t="shared" ref="T435" si="823">R435</f>
        <v>2.1308605555555555</v>
      </c>
      <c r="U435" s="9">
        <f t="shared" ref="U435" si="824">L435</f>
        <v>2.1308605555555555</v>
      </c>
      <c r="V435" s="9">
        <f t="shared" ref="V435" si="825">T435*H435%</f>
        <v>0</v>
      </c>
      <c r="W435" s="9">
        <f t="shared" ref="W435" si="826">T435*I435%</f>
        <v>0</v>
      </c>
    </row>
    <row r="436" spans="1:27" x14ac:dyDescent="0.25">
      <c r="A436" s="82">
        <f>'NELIOTA (p&lt;0.5)'!A483</f>
        <v>44795</v>
      </c>
      <c r="B436" s="58" t="str">
        <f>'NELIOTA (p&lt;0.5)'!B483</f>
        <v>03:55-06:30</v>
      </c>
      <c r="C436" s="59">
        <f>'NELIOTA (p&lt;0.5)'!C483</f>
        <v>0.24</v>
      </c>
      <c r="D436" s="120">
        <f>'NELIOTA (p&lt;0.5)'!D483</f>
        <v>100</v>
      </c>
      <c r="E436" s="120" t="str">
        <f>'NELIOTA (p&lt;0.5)'!F483</f>
        <v>very good</v>
      </c>
      <c r="F436" s="58"/>
      <c r="G436" s="8">
        <f>'NELIOTA (p&lt;0.5)'!H483</f>
        <v>100</v>
      </c>
      <c r="H436" s="8">
        <f>'NELIOTA (p&lt;0.5)'!I483</f>
        <v>0</v>
      </c>
      <c r="I436" s="8">
        <f>'NELIOTA (p&lt;0.5)'!J483</f>
        <v>0</v>
      </c>
      <c r="J436" s="82"/>
      <c r="K436" s="102">
        <f>'NELIOTA (p&lt;0.5)'!M483</f>
        <v>5761.3620000000001</v>
      </c>
      <c r="L436" s="93">
        <f t="shared" ref="L436" si="827">K436/3600</f>
        <v>1.6003783333333335</v>
      </c>
      <c r="N436" s="11">
        <v>2</v>
      </c>
      <c r="O436" s="11">
        <v>33.89</v>
      </c>
      <c r="P436" s="9">
        <f t="shared" ref="P436" si="828">N436+O436/60</f>
        <v>2.5648333333333335</v>
      </c>
      <c r="Q436" s="9">
        <f t="shared" ref="Q436" si="829">P436*62.4%</f>
        <v>1.6004560000000001</v>
      </c>
      <c r="R436" s="9">
        <f t="shared" ref="R436" si="830">IF(G436=100,L436,Q436)</f>
        <v>1.6003783333333335</v>
      </c>
      <c r="S436" s="9">
        <f t="shared" ref="S436" si="831">100*L436/Q436</f>
        <v>99.995147216376665</v>
      </c>
      <c r="T436" s="9">
        <f t="shared" ref="T436" si="832">R436</f>
        <v>1.6003783333333335</v>
      </c>
      <c r="U436" s="9">
        <f t="shared" ref="U436" si="833">L436</f>
        <v>1.6003783333333335</v>
      </c>
      <c r="V436" s="9">
        <f t="shared" ref="V436" si="834">T436*H436%</f>
        <v>0</v>
      </c>
      <c r="W436" s="9">
        <f t="shared" ref="W436" si="835">T436*I436%</f>
        <v>0</v>
      </c>
    </row>
    <row r="437" spans="1:27" x14ac:dyDescent="0.25">
      <c r="A437" s="82">
        <f>'NELIOTA (p&lt;0.5)'!A484</f>
        <v>44796</v>
      </c>
      <c r="B437" s="58" t="str">
        <f>'NELIOTA (p&lt;0.5)'!B484</f>
        <v>04:45-06:30</v>
      </c>
      <c r="C437" s="59">
        <f>'NELIOTA (p&lt;0.5)'!C484</f>
        <v>0.16200000000000001</v>
      </c>
      <c r="D437" s="120">
        <f>'NELIOTA (p&lt;0.5)'!D484</f>
        <v>0</v>
      </c>
      <c r="E437" s="120" t="str">
        <f>'NELIOTA (p&lt;0.5)'!F484</f>
        <v>Cloudiness</v>
      </c>
      <c r="F437" s="58"/>
      <c r="G437" s="8">
        <f>'NELIOTA (p&lt;0.5)'!H484</f>
        <v>0</v>
      </c>
      <c r="H437" s="8">
        <f>'NELIOTA (p&lt;0.5)'!I484</f>
        <v>100</v>
      </c>
      <c r="I437" s="8">
        <f>'NELIOTA (p&lt;0.5)'!J484</f>
        <v>0</v>
      </c>
      <c r="J437" s="82"/>
      <c r="K437" s="102">
        <f>'NELIOTA (p&lt;0.5)'!M484</f>
        <v>0</v>
      </c>
      <c r="L437" s="93">
        <f t="shared" ref="L437" si="836">K437/3600</f>
        <v>0</v>
      </c>
      <c r="N437" s="11">
        <v>1</v>
      </c>
      <c r="O437" s="11">
        <v>45</v>
      </c>
      <c r="P437" s="9">
        <f t="shared" ref="P437" si="837">N437+O437/60</f>
        <v>1.75</v>
      </c>
      <c r="Q437" s="9">
        <f t="shared" ref="Q437" si="838">P437*62.4%</f>
        <v>1.0920000000000001</v>
      </c>
      <c r="R437" s="9">
        <f t="shared" ref="R437" si="839">IF(G437=100,L437,Q437)</f>
        <v>1.0920000000000001</v>
      </c>
      <c r="S437" s="9">
        <f t="shared" ref="S437" si="840">100*L437/Q437</f>
        <v>0</v>
      </c>
      <c r="T437" s="9">
        <f t="shared" ref="T437" si="841">R437</f>
        <v>1.0920000000000001</v>
      </c>
      <c r="U437" s="9">
        <f t="shared" ref="U437" si="842">L437</f>
        <v>0</v>
      </c>
      <c r="V437" s="9">
        <f t="shared" ref="V437" si="843">T437*H437%</f>
        <v>1.0920000000000001</v>
      </c>
      <c r="W437" s="9">
        <f t="shared" ref="W437" si="844">T437*I437%</f>
        <v>0</v>
      </c>
    </row>
    <row r="438" spans="1:27" x14ac:dyDescent="0.25">
      <c r="A438" s="82">
        <f>'NELIOTA (p&lt;0.5)'!A485</f>
        <v>44797</v>
      </c>
      <c r="B438" s="58" t="str">
        <f>'NELIOTA (p&lt;0.5)'!B485</f>
        <v>05:40-06:30</v>
      </c>
      <c r="C438" s="59">
        <f>'NELIOTA (p&lt;0.5)'!C485</f>
        <v>9.6000000000000002E-2</v>
      </c>
      <c r="D438" s="120">
        <f>'NELIOTA (p&lt;0.5)'!D485</f>
        <v>0</v>
      </c>
      <c r="E438" s="120" t="str">
        <f>'NELIOTA (p&lt;0.5)'!F485</f>
        <v>Cloudiness</v>
      </c>
      <c r="F438" s="58"/>
      <c r="G438" s="8">
        <f>'NELIOTA (p&lt;0.5)'!H485</f>
        <v>0</v>
      </c>
      <c r="H438" s="8">
        <f>'NELIOTA (p&lt;0.5)'!I485</f>
        <v>100</v>
      </c>
      <c r="I438" s="8">
        <f>'NELIOTA (p&lt;0.5)'!J485</f>
        <v>0</v>
      </c>
      <c r="J438" s="82"/>
      <c r="K438" s="102">
        <f>'NELIOTA (p&lt;0.5)'!M485</f>
        <v>0</v>
      </c>
      <c r="L438" s="93">
        <f t="shared" ref="L438" si="845">K438/3600</f>
        <v>0</v>
      </c>
      <c r="N438" s="11">
        <v>1</v>
      </c>
      <c r="O438" s="11">
        <v>45</v>
      </c>
      <c r="P438" s="9">
        <f t="shared" ref="P438" si="846">N438+O438/60</f>
        <v>1.75</v>
      </c>
      <c r="Q438" s="9">
        <f t="shared" ref="Q438" si="847">P438*62.4%</f>
        <v>1.0920000000000001</v>
      </c>
      <c r="R438" s="9">
        <f t="shared" ref="R438" si="848">IF(G438=100,L438,Q438)</f>
        <v>1.0920000000000001</v>
      </c>
      <c r="S438" s="9">
        <f t="shared" ref="S438" si="849">100*L438/Q438</f>
        <v>0</v>
      </c>
      <c r="T438" s="9">
        <f t="shared" ref="T438" si="850">R438</f>
        <v>1.0920000000000001</v>
      </c>
      <c r="U438" s="9">
        <f t="shared" ref="U438" si="851">L438</f>
        <v>0</v>
      </c>
      <c r="V438" s="9">
        <f t="shared" ref="V438" si="852">T438*H438%</f>
        <v>1.0920000000000001</v>
      </c>
      <c r="W438" s="9">
        <f t="shared" ref="W438" si="853">T438*I438%</f>
        <v>0</v>
      </c>
    </row>
    <row r="439" spans="1:27" x14ac:dyDescent="0.25">
      <c r="A439" s="82">
        <f>'NELIOTA (p&lt;0.5)'!A486</f>
        <v>44804</v>
      </c>
      <c r="B439" s="58" t="str">
        <f>'NELIOTA (p&lt;0.5)'!B486</f>
        <v>20:20-21:10</v>
      </c>
      <c r="C439" s="59">
        <f>'NELIOTA (p&lt;0.5)'!C486</f>
        <v>0.19500000000000001</v>
      </c>
      <c r="D439" s="120">
        <f>'NELIOTA (p&lt;0.5)'!D486</f>
        <v>0</v>
      </c>
      <c r="E439" s="120" t="str">
        <f>'NELIOTA (p&lt;0.5)'!F486</f>
        <v>Cloudiness</v>
      </c>
      <c r="F439" s="58"/>
      <c r="G439" s="8">
        <f>'NELIOTA (p&lt;0.5)'!H486</f>
        <v>0</v>
      </c>
      <c r="H439" s="8">
        <f>'NELIOTA (p&lt;0.5)'!I486</f>
        <v>100</v>
      </c>
      <c r="I439" s="8">
        <f>'NELIOTA (p&lt;0.5)'!J486</f>
        <v>0</v>
      </c>
      <c r="J439" s="82"/>
      <c r="K439" s="102">
        <f>'NELIOTA (p&lt;0.5)'!M486</f>
        <v>0</v>
      </c>
      <c r="L439" s="93">
        <f t="shared" ref="L439" si="854">K439/3600</f>
        <v>0</v>
      </c>
      <c r="N439" s="11">
        <v>0</v>
      </c>
      <c r="O439" s="11">
        <v>50</v>
      </c>
      <c r="P439" s="9">
        <f t="shared" ref="P439" si="855">N439+O439/60</f>
        <v>0.83333333333333337</v>
      </c>
      <c r="Q439" s="9">
        <f t="shared" ref="Q439" si="856">P439*62.4%</f>
        <v>0.52</v>
      </c>
      <c r="R439" s="9">
        <f t="shared" ref="R439" si="857">IF(G439=100,L439,Q439)</f>
        <v>0.52</v>
      </c>
      <c r="S439" s="9">
        <f t="shared" ref="S439" si="858">100*L439/Q439</f>
        <v>0</v>
      </c>
      <c r="T439" s="9">
        <f t="shared" ref="T439" si="859">R439</f>
        <v>0.52</v>
      </c>
      <c r="U439" s="9">
        <f t="shared" ref="U439" si="860">L439</f>
        <v>0</v>
      </c>
      <c r="V439" s="9">
        <f t="shared" ref="V439" si="861">T439*H439%</f>
        <v>0.52</v>
      </c>
      <c r="W439" s="9">
        <f t="shared" ref="W439" si="862">T439*I439%</f>
        <v>0</v>
      </c>
      <c r="X439" s="9">
        <f>SUM(U430:U439)</f>
        <v>9.7347055555555553</v>
      </c>
      <c r="Y439" s="9">
        <f>100*X439/SUM(T430:T439)</f>
        <v>75.833063713817964</v>
      </c>
      <c r="Z439" s="9">
        <f>100*SUM(V430:V439)/SUM(T430:T439)</f>
        <v>24.168518861854228</v>
      </c>
      <c r="AA439" s="9">
        <f>100*SUM(W430:W439)/SUM(T430:T439)</f>
        <v>0</v>
      </c>
    </row>
    <row r="440" spans="1:27" s="48" customFormat="1" x14ac:dyDescent="0.25">
      <c r="A440" s="94">
        <f>'NELIOTA (p&lt;0.5)'!A487</f>
        <v>44805</v>
      </c>
      <c r="B440" s="62" t="str">
        <f>'NELIOTA (p&lt;0.5)'!B487</f>
        <v>20:20-21:35</v>
      </c>
      <c r="C440" s="63">
        <f>'NELIOTA (p&lt;0.5)'!C487</f>
        <v>0.28499999999999998</v>
      </c>
      <c r="D440" s="172">
        <f>'NELIOTA (p&lt;0.5)'!D487</f>
        <v>80</v>
      </c>
      <c r="E440" s="172" t="str">
        <f>'NELIOTA (p&lt;0.5)'!F487</f>
        <v>very good</v>
      </c>
      <c r="F440" s="62"/>
      <c r="G440" s="24">
        <f>'NELIOTA (p&lt;0.5)'!H487</f>
        <v>80</v>
      </c>
      <c r="H440" s="24">
        <f>'NELIOTA (p&lt;0.5)'!I487</f>
        <v>20</v>
      </c>
      <c r="I440" s="24">
        <f>'NELIOTA (p&lt;0.5)'!J487</f>
        <v>0</v>
      </c>
      <c r="J440" s="94"/>
      <c r="K440" s="100">
        <f>'NELIOTA (p&lt;0.5)'!M487</f>
        <v>2535.36</v>
      </c>
      <c r="L440" s="92">
        <f t="shared" ref="L440:L441" si="863">K440/3600</f>
        <v>0.70426666666666671</v>
      </c>
      <c r="N440" s="47">
        <v>1</v>
      </c>
      <c r="O440" s="47">
        <v>24.65</v>
      </c>
      <c r="P440" s="33">
        <f t="shared" ref="P440:P441" si="864">N440+O440/60</f>
        <v>1.4108333333333334</v>
      </c>
      <c r="Q440" s="33">
        <f t="shared" ref="Q440:Q441" si="865">P440*62.4%</f>
        <v>0.88036000000000003</v>
      </c>
      <c r="R440" s="33">
        <f t="shared" ref="R440:R441" si="866">IF(G440=100,L440,Q440)</f>
        <v>0.88036000000000003</v>
      </c>
      <c r="S440" s="33">
        <f t="shared" ref="S440:S441" si="867">100*L440/Q440</f>
        <v>79.997576748905757</v>
      </c>
      <c r="T440" s="33">
        <f t="shared" ref="T440:T441" si="868">R440</f>
        <v>0.88036000000000003</v>
      </c>
      <c r="U440" s="33">
        <f t="shared" ref="U440:U441" si="869">L440</f>
        <v>0.70426666666666671</v>
      </c>
      <c r="V440" s="33">
        <f t="shared" ref="V440:V441" si="870">T440*H440%</f>
        <v>0.17607200000000001</v>
      </c>
      <c r="W440" s="33">
        <f t="shared" ref="W440:W441" si="871">T440*I440%</f>
        <v>0</v>
      </c>
    </row>
    <row r="441" spans="1:27" x14ac:dyDescent="0.25">
      <c r="A441" s="82">
        <f>'NELIOTA (p&lt;0.5)'!A488</f>
        <v>44806</v>
      </c>
      <c r="B441" s="58" t="str">
        <f>'NELIOTA (p&lt;0.5)'!B488</f>
        <v>20:20-22:00</v>
      </c>
      <c r="C441" s="59">
        <f>'NELIOTA (p&lt;0.5)'!C488</f>
        <v>0.39</v>
      </c>
      <c r="D441" s="120">
        <f>'NELIOTA (p&lt;0.5)'!D488</f>
        <v>100</v>
      </c>
      <c r="E441" s="120" t="str">
        <f>'NELIOTA (p&lt;0.5)'!F488</f>
        <v>very good</v>
      </c>
      <c r="F441" s="58"/>
      <c r="G441" s="8">
        <f>'NELIOTA (p&lt;0.5)'!H488</f>
        <v>100</v>
      </c>
      <c r="H441" s="8">
        <f>'NELIOTA (p&lt;0.5)'!I488</f>
        <v>0</v>
      </c>
      <c r="I441" s="8">
        <f>'NELIOTA (p&lt;0.5)'!J488</f>
        <v>0</v>
      </c>
      <c r="J441" s="82"/>
      <c r="K441" s="102">
        <f>'NELIOTA (p&lt;0.5)'!M488</f>
        <v>3885.71</v>
      </c>
      <c r="L441" s="93">
        <f t="shared" si="863"/>
        <v>1.0793638888888888</v>
      </c>
      <c r="N441" s="11">
        <v>1</v>
      </c>
      <c r="O441" s="11">
        <v>43.78</v>
      </c>
      <c r="P441" s="9">
        <f t="shared" si="864"/>
        <v>1.7296666666666667</v>
      </c>
      <c r="Q441" s="9">
        <f t="shared" si="865"/>
        <v>1.079312</v>
      </c>
      <c r="R441" s="9">
        <f t="shared" si="866"/>
        <v>1.0793638888888888</v>
      </c>
      <c r="S441" s="9">
        <f t="shared" si="867"/>
        <v>100.00480758936145</v>
      </c>
      <c r="T441" s="9">
        <f t="shared" si="868"/>
        <v>1.0793638888888888</v>
      </c>
      <c r="U441" s="9">
        <f t="shared" si="869"/>
        <v>1.0793638888888888</v>
      </c>
      <c r="V441" s="9">
        <f t="shared" si="870"/>
        <v>0</v>
      </c>
      <c r="W441" s="9">
        <f t="shared" si="871"/>
        <v>0</v>
      </c>
    </row>
    <row r="442" spans="1:27" x14ac:dyDescent="0.25">
      <c r="A442" s="82">
        <f>'NELIOTA (p&lt;0.5)'!A489</f>
        <v>44823</v>
      </c>
      <c r="B442" s="58" t="str">
        <f>'NELIOTA (p&lt;0.5)'!B489</f>
        <v>02:35-06:55</v>
      </c>
      <c r="C442" s="59">
        <f>'NELIOTA (p&lt;0.5)'!C489</f>
        <v>0.39900000000000002</v>
      </c>
      <c r="D442" s="120">
        <f>'NELIOTA (p&lt;0.5)'!D489</f>
        <v>100</v>
      </c>
      <c r="E442" s="120" t="str">
        <f>'NELIOTA (p&lt;0.5)'!F489</f>
        <v>very good</v>
      </c>
      <c r="F442" s="58"/>
      <c r="G442" s="8">
        <f>'NELIOTA (p&lt;0.5)'!H489</f>
        <v>100</v>
      </c>
      <c r="H442" s="8">
        <f>'NELIOTA (p&lt;0.5)'!I489</f>
        <v>0</v>
      </c>
      <c r="I442" s="8">
        <f>'NELIOTA (p&lt;0.5)'!J489</f>
        <v>0</v>
      </c>
      <c r="J442" s="82"/>
      <c r="K442" s="102">
        <f>'NELIOTA (p&lt;0.5)'!M489</f>
        <v>9856.2800000000007</v>
      </c>
      <c r="L442" s="93">
        <f t="shared" ref="L442:L444" si="872">K442/3600</f>
        <v>2.7378555555555559</v>
      </c>
      <c r="N442" s="11">
        <v>4</v>
      </c>
      <c r="O442" s="11">
        <v>23.25</v>
      </c>
      <c r="P442" s="9">
        <f t="shared" ref="P442:P444" si="873">N442+O442/60</f>
        <v>4.3875000000000002</v>
      </c>
      <c r="Q442" s="9">
        <f t="shared" ref="Q442:Q444" si="874">P442*62.4%</f>
        <v>2.7378</v>
      </c>
      <c r="R442" s="9">
        <f t="shared" ref="R442:R444" si="875">IF(G442=100,L442,Q442)</f>
        <v>2.7378555555555559</v>
      </c>
      <c r="S442" s="9">
        <f t="shared" ref="S442:S444" si="876">100*L442/Q442</f>
        <v>100.00202920430843</v>
      </c>
      <c r="T442" s="9">
        <f t="shared" ref="T442:T444" si="877">R442</f>
        <v>2.7378555555555559</v>
      </c>
      <c r="U442" s="9">
        <f t="shared" ref="U442:U444" si="878">L442</f>
        <v>2.7378555555555559</v>
      </c>
      <c r="V442" s="9">
        <f t="shared" ref="V442:V444" si="879">T442*H442%</f>
        <v>0</v>
      </c>
      <c r="W442" s="9">
        <f t="shared" ref="W442:W444" si="880">T442*I442%</f>
        <v>0</v>
      </c>
    </row>
    <row r="443" spans="1:27" x14ac:dyDescent="0.25">
      <c r="A443" s="82">
        <f>'NELIOTA (p&lt;0.5)'!A490</f>
        <v>44824</v>
      </c>
      <c r="B443" s="58" t="str">
        <f>'NELIOTA (p&lt;0.5)'!B490</f>
        <v>03:30-06:55</v>
      </c>
      <c r="C443" s="59">
        <f>'NELIOTA (p&lt;0.5)'!C490</f>
        <v>0.30499999999999999</v>
      </c>
      <c r="D443" s="120">
        <f>'NELIOTA (p&lt;0.5)'!D490</f>
        <v>12</v>
      </c>
      <c r="E443" s="120" t="str">
        <f>'NELIOTA (p&lt;0.5)'!F490</f>
        <v>moderate</v>
      </c>
      <c r="F443" s="58"/>
      <c r="G443" s="8">
        <f>'NELIOTA (p&lt;0.5)'!H490</f>
        <v>12</v>
      </c>
      <c r="H443" s="8">
        <f>'NELIOTA (p&lt;0.5)'!I490</f>
        <v>88</v>
      </c>
      <c r="I443" s="8">
        <f>'NELIOTA (p&lt;0.5)'!J490</f>
        <v>0</v>
      </c>
      <c r="J443" s="82"/>
      <c r="K443" s="102">
        <f>'NELIOTA (p&lt;0.5)'!M490</f>
        <v>1098.27</v>
      </c>
      <c r="L443" s="93">
        <f t="shared" si="872"/>
        <v>0.30507499999999999</v>
      </c>
      <c r="N443" s="11">
        <v>3</v>
      </c>
      <c r="O443" s="11">
        <v>59</v>
      </c>
      <c r="P443" s="9">
        <f t="shared" si="873"/>
        <v>3.9833333333333334</v>
      </c>
      <c r="Q443" s="9">
        <f t="shared" si="874"/>
        <v>2.4856000000000003</v>
      </c>
      <c r="R443" s="9">
        <f t="shared" si="875"/>
        <v>2.4856000000000003</v>
      </c>
      <c r="S443" s="9">
        <f t="shared" si="876"/>
        <v>12.273696491792725</v>
      </c>
      <c r="T443" s="9">
        <f t="shared" si="877"/>
        <v>2.4856000000000003</v>
      </c>
      <c r="U443" s="9">
        <f t="shared" si="878"/>
        <v>0.30507499999999999</v>
      </c>
      <c r="V443" s="9">
        <f t="shared" si="879"/>
        <v>2.1873280000000004</v>
      </c>
      <c r="W443" s="9">
        <f t="shared" si="880"/>
        <v>0</v>
      </c>
    </row>
    <row r="444" spans="1:27" x14ac:dyDescent="0.25">
      <c r="A444" s="82">
        <f>'NELIOTA (p&lt;0.5)'!A491</f>
        <v>44825</v>
      </c>
      <c r="B444" s="58" t="str">
        <f>'NELIOTA (p&lt;0.5)'!B491</f>
        <v>04:25-06:55</v>
      </c>
      <c r="C444" s="59">
        <f>'NELIOTA (p&lt;0.5)'!C491</f>
        <v>0.218</v>
      </c>
      <c r="D444" s="120">
        <f>'NELIOTA (p&lt;0.5)'!D491</f>
        <v>39</v>
      </c>
      <c r="E444" s="120" t="str">
        <f>'NELIOTA (p&lt;0.5)'!F491</f>
        <v>moderate</v>
      </c>
      <c r="F444" s="58"/>
      <c r="G444" s="8">
        <f>'NELIOTA (p&lt;0.5)'!H491</f>
        <v>39</v>
      </c>
      <c r="H444" s="8">
        <f>'NELIOTA (p&lt;0.5)'!I491</f>
        <v>61</v>
      </c>
      <c r="I444" s="8">
        <f>'NELIOTA (p&lt;0.5)'!J491</f>
        <v>0</v>
      </c>
      <c r="J444" s="82"/>
      <c r="K444" s="102">
        <f>'NELIOTA (p&lt;0.5)'!M491</f>
        <v>2693.69</v>
      </c>
      <c r="L444" s="93">
        <f t="shared" si="872"/>
        <v>0.74824722222222229</v>
      </c>
      <c r="N444" s="11">
        <v>3</v>
      </c>
      <c r="O444" s="11">
        <v>4.5</v>
      </c>
      <c r="P444" s="9">
        <f t="shared" si="873"/>
        <v>3.0750000000000002</v>
      </c>
      <c r="Q444" s="9">
        <f t="shared" si="874"/>
        <v>1.9188000000000001</v>
      </c>
      <c r="R444" s="9">
        <f t="shared" si="875"/>
        <v>1.9188000000000001</v>
      </c>
      <c r="S444" s="9">
        <f t="shared" si="876"/>
        <v>38.995581729321572</v>
      </c>
      <c r="T444" s="9">
        <f t="shared" si="877"/>
        <v>1.9188000000000001</v>
      </c>
      <c r="U444" s="9">
        <f t="shared" si="878"/>
        <v>0.74824722222222229</v>
      </c>
      <c r="V444" s="9">
        <f t="shared" si="879"/>
        <v>1.1704680000000001</v>
      </c>
      <c r="W444" s="9">
        <f t="shared" si="880"/>
        <v>0</v>
      </c>
    </row>
    <row r="445" spans="1:27" x14ac:dyDescent="0.25">
      <c r="A445" s="82">
        <f>'NELIOTA (p&lt;0.5)'!A492</f>
        <v>44826</v>
      </c>
      <c r="B445" s="58" t="str">
        <f>'NELIOTA (p&lt;0.5)'!B492</f>
        <v>05:20-06:55</v>
      </c>
      <c r="C445" s="59">
        <f>'NELIOTA (p&lt;0.5)'!C492</f>
        <v>0.14199999999999999</v>
      </c>
      <c r="D445" s="120">
        <f>'NELIOTA (p&lt;0.5)'!D492</f>
        <v>0</v>
      </c>
      <c r="E445" s="120" t="str">
        <f>'NELIOTA (p&lt;0.5)'!F492</f>
        <v>Cloudiness</v>
      </c>
      <c r="F445" s="58"/>
      <c r="G445" s="8">
        <f>'NELIOTA (p&lt;0.5)'!H492</f>
        <v>0</v>
      </c>
      <c r="H445" s="8">
        <f>'NELIOTA (p&lt;0.5)'!I492</f>
        <v>100</v>
      </c>
      <c r="I445" s="8">
        <f>'NELIOTA (p&lt;0.5)'!J492</f>
        <v>0</v>
      </c>
      <c r="J445" s="82"/>
      <c r="K445" s="102">
        <f>'NELIOTA (p&lt;0.5)'!M492</f>
        <v>0</v>
      </c>
      <c r="L445" s="93">
        <f t="shared" ref="L445:L446" si="881">K445/3600</f>
        <v>0</v>
      </c>
      <c r="N445" s="11">
        <v>3</v>
      </c>
      <c r="O445" s="11">
        <v>4.5</v>
      </c>
      <c r="P445" s="9">
        <f t="shared" ref="P445:P446" si="882">N445+O445/60</f>
        <v>3.0750000000000002</v>
      </c>
      <c r="Q445" s="9">
        <f t="shared" ref="Q445:Q446" si="883">P445*62.4%</f>
        <v>1.9188000000000001</v>
      </c>
      <c r="R445" s="9">
        <f t="shared" ref="R445:R446" si="884">IF(G445=100,L445,Q445)</f>
        <v>1.9188000000000001</v>
      </c>
      <c r="S445" s="9">
        <f t="shared" ref="S445:S446" si="885">100*L445/Q445</f>
        <v>0</v>
      </c>
      <c r="T445" s="9">
        <f t="shared" ref="T445:T446" si="886">R445</f>
        <v>1.9188000000000001</v>
      </c>
      <c r="U445" s="9">
        <f t="shared" ref="U445:U446" si="887">L445</f>
        <v>0</v>
      </c>
      <c r="V445" s="9">
        <f t="shared" ref="V445:V446" si="888">T445*H445%</f>
        <v>1.9188000000000001</v>
      </c>
      <c r="W445" s="9">
        <f t="shared" ref="W445:W446" si="889">T445*I445%</f>
        <v>0</v>
      </c>
    </row>
    <row r="446" spans="1:27" x14ac:dyDescent="0.25">
      <c r="A446" s="82">
        <f>'NELIOTA (p&lt;0.5)'!A493</f>
        <v>44834</v>
      </c>
      <c r="B446" s="58" t="str">
        <f>'NELIOTA (p&lt;0.5)'!B493</f>
        <v>19:35-20:35</v>
      </c>
      <c r="C446" s="59">
        <f>'NELIOTA (p&lt;0.5)'!C493</f>
        <v>0.254</v>
      </c>
      <c r="D446" s="120">
        <f>'NELIOTA (p&lt;0.5)'!D493</f>
        <v>62</v>
      </c>
      <c r="E446" s="120" t="str">
        <f>'NELIOTA (p&lt;0.5)'!F493</f>
        <v xml:space="preserve"> good</v>
      </c>
      <c r="F446" s="58"/>
      <c r="G446" s="8">
        <f>'NELIOTA (p&lt;0.5)'!H493</f>
        <v>62</v>
      </c>
      <c r="H446" s="8">
        <f>'NELIOTA (p&lt;0.5)'!I493</f>
        <v>38</v>
      </c>
      <c r="I446" s="8">
        <f>'NELIOTA (p&lt;0.5)'!J493</f>
        <v>0</v>
      </c>
      <c r="J446" s="82"/>
      <c r="K446" s="102">
        <f>'NELIOTA (p&lt;0.5)'!M493</f>
        <v>1655.26</v>
      </c>
      <c r="L446" s="93">
        <f t="shared" si="881"/>
        <v>0.45979444444444445</v>
      </c>
      <c r="N446" s="11">
        <v>1</v>
      </c>
      <c r="O446" s="11">
        <v>11.3</v>
      </c>
      <c r="P446" s="9">
        <f t="shared" si="882"/>
        <v>1.1883333333333335</v>
      </c>
      <c r="Q446" s="9">
        <f t="shared" si="883"/>
        <v>0.74152000000000007</v>
      </c>
      <c r="R446" s="9">
        <f t="shared" si="884"/>
        <v>0.74152000000000007</v>
      </c>
      <c r="S446" s="9">
        <f t="shared" si="885"/>
        <v>62.007018616415529</v>
      </c>
      <c r="T446" s="9">
        <f t="shared" si="886"/>
        <v>0.74152000000000007</v>
      </c>
      <c r="U446" s="9">
        <f t="shared" si="887"/>
        <v>0.45979444444444445</v>
      </c>
      <c r="V446" s="9">
        <f t="shared" si="888"/>
        <v>0.28177760000000002</v>
      </c>
      <c r="W446" s="9">
        <f t="shared" si="889"/>
        <v>0</v>
      </c>
      <c r="X446" s="9">
        <f>SUM(U440:U446)</f>
        <v>6.0346027777777778</v>
      </c>
      <c r="Y446" s="9">
        <f>100*X446/SUM(T440:T446)</f>
        <v>51.304617828175026</v>
      </c>
      <c r="Z446" s="9">
        <f>100*SUM(V440:V446)/SUM(T440:T446)</f>
        <v>48.752759841601268</v>
      </c>
      <c r="AA446" s="9">
        <f>100*SUM(W440:W446)/SUM(T440:T446)</f>
        <v>0</v>
      </c>
    </row>
    <row r="447" spans="1:27" s="48" customFormat="1" x14ac:dyDescent="0.25">
      <c r="A447" s="94">
        <f>'NELIOTA (p&lt;0.5)'!A494</f>
        <v>44835</v>
      </c>
      <c r="B447" s="62" t="str">
        <f>'NELIOTA (p&lt;0.5)'!B494</f>
        <v>19:35-21:20</v>
      </c>
      <c r="C447" s="63">
        <f>'NELIOTA (p&lt;0.5)'!C494</f>
        <v>0.35599999999999998</v>
      </c>
      <c r="D447" s="172">
        <f>'NELIOTA (p&lt;0.5)'!D494</f>
        <v>64</v>
      </c>
      <c r="E447" s="172" t="str">
        <f>'NELIOTA (p&lt;0.5)'!F494</f>
        <v>moderate</v>
      </c>
      <c r="F447" s="62"/>
      <c r="G447" s="24">
        <f>'NELIOTA (p&lt;0.5)'!H494</f>
        <v>64</v>
      </c>
      <c r="H447" s="24">
        <f>'NELIOTA (p&lt;0.5)'!I494</f>
        <v>36</v>
      </c>
      <c r="I447" s="24">
        <f>'NELIOTA (p&lt;0.5)'!J494</f>
        <v>0</v>
      </c>
      <c r="J447" s="94"/>
      <c r="K447" s="100">
        <f>'NELIOTA (p&lt;0.5)'!M494</f>
        <v>2943.1260000000002</v>
      </c>
      <c r="L447" s="92">
        <f t="shared" ref="L447" si="890">K447/3600</f>
        <v>0.81753500000000001</v>
      </c>
      <c r="N447" s="47">
        <v>2</v>
      </c>
      <c r="O447" s="47">
        <v>2.8</v>
      </c>
      <c r="P447" s="33">
        <f t="shared" ref="P447" si="891">N447+O447/60</f>
        <v>2.0466666666666669</v>
      </c>
      <c r="Q447" s="33">
        <f t="shared" ref="Q447" si="892">P447*62.4%</f>
        <v>1.27712</v>
      </c>
      <c r="R447" s="33">
        <f t="shared" ref="R447" si="893">IF(G447=100,L447,Q447)</f>
        <v>1.27712</v>
      </c>
      <c r="S447" s="33">
        <f t="shared" ref="S447" si="894">100*L447/Q447</f>
        <v>64.013953269857183</v>
      </c>
      <c r="T447" s="33">
        <f t="shared" ref="T447" si="895">R447</f>
        <v>1.27712</v>
      </c>
      <c r="U447" s="33">
        <f t="shared" ref="U447" si="896">L447</f>
        <v>0.81753500000000001</v>
      </c>
      <c r="V447" s="33">
        <f t="shared" ref="V447" si="897">T447*H447%</f>
        <v>0.45976319999999998</v>
      </c>
      <c r="W447" s="33">
        <f t="shared" ref="W447" si="898">T447*I447%</f>
        <v>0</v>
      </c>
    </row>
    <row r="448" spans="1:27" x14ac:dyDescent="0.25">
      <c r="A448" s="82">
        <f>'NELIOTA (p&lt;0.5)'!A495</f>
        <v>44853</v>
      </c>
      <c r="B448" s="58" t="str">
        <f>'NELIOTA (p&lt;0.5)'!B495</f>
        <v>03:10-07:20</v>
      </c>
      <c r="C448" s="59">
        <f>'NELIOTA (p&lt;0.5)'!C495</f>
        <v>0.38</v>
      </c>
      <c r="D448" s="120">
        <f>'NELIOTA (p&lt;0.5)'!D495</f>
        <v>100</v>
      </c>
      <c r="E448" s="120" t="str">
        <f>'NELIOTA (p&lt;0.5)'!F495</f>
        <v>very good</v>
      </c>
      <c r="F448" s="58"/>
      <c r="G448" s="8">
        <f>'NELIOTA (p&lt;0.5)'!H495</f>
        <v>100</v>
      </c>
      <c r="H448" s="8">
        <f>'NELIOTA (p&lt;0.5)'!I495</f>
        <v>0</v>
      </c>
      <c r="I448" s="8">
        <f>'NELIOTA (p&lt;0.5)'!J495</f>
        <v>0</v>
      </c>
      <c r="J448" s="82"/>
      <c r="K448" s="102">
        <f>'NELIOTA (p&lt;0.5)'!M495</f>
        <v>9012.8950000000004</v>
      </c>
      <c r="L448" s="93">
        <f t="shared" ref="L448" si="899">K448/3600</f>
        <v>2.5035819444444445</v>
      </c>
      <c r="N448" s="11">
        <v>4</v>
      </c>
      <c r="O448" s="11">
        <v>0.7</v>
      </c>
      <c r="P448" s="9">
        <f t="shared" ref="P448" si="900">N448+O448/60</f>
        <v>4.0116666666666667</v>
      </c>
      <c r="Q448" s="9">
        <f t="shared" ref="Q448" si="901">P448*62.4%</f>
        <v>2.5032800000000002</v>
      </c>
      <c r="R448" s="9">
        <f t="shared" ref="R448" si="902">IF(G448=100,L448,Q448)</f>
        <v>2.5035819444444445</v>
      </c>
      <c r="S448" s="9">
        <f t="shared" ref="S448" si="903">100*L448/Q448</f>
        <v>100.0120619524961</v>
      </c>
      <c r="T448" s="9">
        <f t="shared" ref="T448" si="904">R448</f>
        <v>2.5035819444444445</v>
      </c>
      <c r="U448" s="9">
        <f t="shared" ref="U448" si="905">L448</f>
        <v>2.5035819444444445</v>
      </c>
      <c r="V448" s="9">
        <f t="shared" ref="V448" si="906">T448*H448%</f>
        <v>0</v>
      </c>
      <c r="W448" s="9">
        <f t="shared" ref="W448" si="907">T448*I448%</f>
        <v>0</v>
      </c>
    </row>
    <row r="449" spans="1:27" x14ac:dyDescent="0.25">
      <c r="A449" s="82">
        <f>'NELIOTA (p&lt;0.5)'!A496</f>
        <v>44854</v>
      </c>
      <c r="B449" s="58" t="str">
        <f>'NELIOTA (p&lt;0.5)'!B496</f>
        <v>04:10-07:20</v>
      </c>
      <c r="C449" s="59">
        <f>'NELIOTA (p&lt;0.5)'!C496</f>
        <v>0.28599999999999998</v>
      </c>
      <c r="D449" s="120">
        <f>'NELIOTA (p&lt;0.5)'!D496</f>
        <v>100</v>
      </c>
      <c r="E449" s="120" t="str">
        <f>'NELIOTA (p&lt;0.5)'!F496</f>
        <v>excellent</v>
      </c>
      <c r="F449" s="58"/>
      <c r="G449" s="8">
        <f>'NELIOTA (p&lt;0.5)'!H496</f>
        <v>100</v>
      </c>
      <c r="H449" s="8">
        <f>'NELIOTA (p&lt;0.5)'!I496</f>
        <v>0</v>
      </c>
      <c r="I449" s="8">
        <f>'NELIOTA (p&lt;0.5)'!J496</f>
        <v>0</v>
      </c>
      <c r="J449" s="82"/>
      <c r="K449" s="102">
        <f>'NELIOTA (p&lt;0.5)'!M496</f>
        <v>7025.2120000000004</v>
      </c>
      <c r="L449" s="93">
        <f t="shared" ref="L449" si="908">K449/3600</f>
        <v>1.9514477777777779</v>
      </c>
      <c r="N449" s="11">
        <v>3</v>
      </c>
      <c r="O449" s="11">
        <v>7.65</v>
      </c>
      <c r="P449" s="9">
        <f t="shared" ref="P449" si="909">N449+O449/60</f>
        <v>3.1274999999999999</v>
      </c>
      <c r="Q449" s="9">
        <f t="shared" ref="Q449" si="910">P449*62.4%</f>
        <v>1.95156</v>
      </c>
      <c r="R449" s="9">
        <f t="shared" ref="R449" si="911">IF(G449=100,L449,Q449)</f>
        <v>1.9514477777777779</v>
      </c>
      <c r="S449" s="9">
        <f t="shared" ref="S449" si="912">100*L449/Q449</f>
        <v>99.994249614553382</v>
      </c>
      <c r="T449" s="9">
        <f t="shared" ref="T449" si="913">R449</f>
        <v>1.9514477777777779</v>
      </c>
      <c r="U449" s="9">
        <f t="shared" ref="U449" si="914">L449</f>
        <v>1.9514477777777779</v>
      </c>
      <c r="V449" s="9">
        <f t="shared" ref="V449" si="915">T449*H449%</f>
        <v>0</v>
      </c>
      <c r="W449" s="9">
        <f t="shared" ref="W449" si="916">T449*I449%</f>
        <v>0</v>
      </c>
    </row>
    <row r="450" spans="1:27" x14ac:dyDescent="0.25">
      <c r="A450" s="82">
        <f>'NELIOTA (p&lt;0.5)'!A497</f>
        <v>44855</v>
      </c>
      <c r="B450" s="58" t="str">
        <f>'NELIOTA (p&lt;0.5)'!B497</f>
        <v>05:10-07:20</v>
      </c>
      <c r="C450" s="59">
        <f>'NELIOTA (p&lt;0.5)'!C497</f>
        <v>0.19800000000000001</v>
      </c>
      <c r="D450" s="120">
        <f>'NELIOTA (p&lt;0.5)'!D497</f>
        <v>86</v>
      </c>
      <c r="E450" s="120" t="str">
        <f>'NELIOTA (p&lt;0.5)'!F497</f>
        <v>excellent</v>
      </c>
      <c r="F450" s="58"/>
      <c r="G450" s="8">
        <f>'NELIOTA (p&lt;0.5)'!H497</f>
        <v>86</v>
      </c>
      <c r="H450" s="8">
        <f>'NELIOTA (p&lt;0.5)'!I497</f>
        <v>14</v>
      </c>
      <c r="I450" s="8">
        <f>'NELIOTA (p&lt;0.5)'!J497</f>
        <v>0</v>
      </c>
      <c r="J450" s="82"/>
      <c r="K450" s="102">
        <f>'NELIOTA (p&lt;0.5)'!M497</f>
        <v>4870.848</v>
      </c>
      <c r="L450" s="93">
        <f t="shared" ref="L450" si="917">K450/3600</f>
        <v>1.3530133333333334</v>
      </c>
      <c r="N450" s="11">
        <v>2</v>
      </c>
      <c r="O450" s="11">
        <v>31.3</v>
      </c>
      <c r="P450" s="9">
        <f t="shared" ref="P450" si="918">N450+O450/60</f>
        <v>2.5216666666666665</v>
      </c>
      <c r="Q450" s="9">
        <f t="shared" ref="Q450" si="919">P450*62.4%</f>
        <v>1.5735199999999998</v>
      </c>
      <c r="R450" s="9">
        <f t="shared" ref="R450" si="920">IF(G450=100,L450,Q450)</f>
        <v>1.5735199999999998</v>
      </c>
      <c r="S450" s="9">
        <f t="shared" ref="S450" si="921">100*L450/Q450</f>
        <v>85.986408392224661</v>
      </c>
      <c r="T450" s="9">
        <f t="shared" ref="T450" si="922">R450</f>
        <v>1.5735199999999998</v>
      </c>
      <c r="U450" s="9">
        <f t="shared" ref="U450" si="923">L450</f>
        <v>1.3530133333333334</v>
      </c>
      <c r="V450" s="9">
        <f t="shared" ref="V450" si="924">T450*H450%</f>
        <v>0.22029279999999998</v>
      </c>
      <c r="W450" s="9">
        <f t="shared" ref="W450" si="925">T450*I450%</f>
        <v>0</v>
      </c>
    </row>
    <row r="451" spans="1:27" x14ac:dyDescent="0.25">
      <c r="A451" s="82">
        <f>'NELIOTA (p&lt;0.5)'!A498</f>
        <v>44856</v>
      </c>
      <c r="B451" s="58" t="str">
        <f>'NELIOTA (p&lt;0.5)'!B498</f>
        <v>06:10-07:20</v>
      </c>
      <c r="C451" s="59">
        <f>'NELIOTA (p&lt;0.5)'!C498</f>
        <v>0.122</v>
      </c>
      <c r="D451" s="120">
        <f>'NELIOTA (p&lt;0.5)'!D498</f>
        <v>100</v>
      </c>
      <c r="E451" s="120" t="str">
        <f>'NELIOTA (p&lt;0.5)'!F498</f>
        <v>good</v>
      </c>
      <c r="F451" s="58"/>
      <c r="G451" s="8">
        <f>'NELIOTA (p&lt;0.5)'!H498</f>
        <v>100</v>
      </c>
      <c r="H451" s="8">
        <f>'NELIOTA (p&lt;0.5)'!I498</f>
        <v>0</v>
      </c>
      <c r="I451" s="8">
        <f>'NELIOTA (p&lt;0.5)'!J498</f>
        <v>0</v>
      </c>
      <c r="J451" s="82"/>
      <c r="K451" s="102">
        <f>'NELIOTA (p&lt;0.5)'!M498</f>
        <v>2668.069</v>
      </c>
      <c r="L451" s="93">
        <f t="shared" ref="L451" si="926">K451/3600</f>
        <v>0.74113027777777774</v>
      </c>
      <c r="N451" s="11">
        <v>1</v>
      </c>
      <c r="O451" s="11">
        <v>11.26</v>
      </c>
      <c r="P451" s="9">
        <f t="shared" ref="P451" si="927">N451+O451/60</f>
        <v>1.1876666666666666</v>
      </c>
      <c r="Q451" s="9">
        <f t="shared" ref="Q451" si="928">P451*62.4%</f>
        <v>0.74110399999999998</v>
      </c>
      <c r="R451" s="9">
        <f t="shared" ref="R451" si="929">IF(G451=100,L451,Q451)</f>
        <v>0.74113027777777774</v>
      </c>
      <c r="S451" s="9">
        <f t="shared" ref="S451" si="930">100*L451/Q451</f>
        <v>100.00354576115872</v>
      </c>
      <c r="T451" s="9">
        <f t="shared" ref="T451" si="931">R451</f>
        <v>0.74113027777777774</v>
      </c>
      <c r="U451" s="9">
        <f t="shared" ref="U451" si="932">L451</f>
        <v>0.74113027777777774</v>
      </c>
      <c r="V451" s="9">
        <f t="shared" ref="V451" si="933">T451*H451%</f>
        <v>0</v>
      </c>
      <c r="W451" s="9">
        <f t="shared" ref="W451" si="934">T451*I451%</f>
        <v>0</v>
      </c>
    </row>
    <row r="452" spans="1:27" x14ac:dyDescent="0.25">
      <c r="A452" s="82">
        <f>'NELIOTA (p&lt;0.5)'!A499</f>
        <v>44863</v>
      </c>
      <c r="B452" s="58" t="str">
        <f>'NELIOTA (p&lt;0.5)'!B499</f>
        <v>18:55-20:15</v>
      </c>
      <c r="C452" s="59">
        <f>'NELIOTA (p&lt;0.5)'!C499</f>
        <v>0.222</v>
      </c>
      <c r="D452" s="120">
        <f>'NELIOTA (p&lt;0.5)'!D499</f>
        <v>71</v>
      </c>
      <c r="E452" s="120" t="str">
        <f>'NELIOTA (p&lt;0.5)'!F499</f>
        <v>moderate</v>
      </c>
      <c r="F452" s="58"/>
      <c r="G452" s="8">
        <f>'NELIOTA (p&lt;0.5)'!H499</f>
        <v>71</v>
      </c>
      <c r="H452" s="8">
        <f>'NELIOTA (p&lt;0.5)'!I499</f>
        <v>0</v>
      </c>
      <c r="I452" s="8">
        <f>'NELIOTA (p&lt;0.5)'!J499</f>
        <v>29</v>
      </c>
      <c r="J452" s="82"/>
      <c r="K452" s="102">
        <f>'NELIOTA (p&lt;0.5)'!M499</f>
        <v>2466.6350000000002</v>
      </c>
      <c r="L452" s="93">
        <f t="shared" ref="L452" si="935">K452/3600</f>
        <v>0.68517638888888899</v>
      </c>
      <c r="N452" s="11">
        <v>1</v>
      </c>
      <c r="O452" s="11">
        <v>32.799999999999997</v>
      </c>
      <c r="P452" s="9">
        <f t="shared" ref="P452" si="936">N452+O452/60</f>
        <v>1.5466666666666666</v>
      </c>
      <c r="Q452" s="9">
        <f t="shared" ref="Q452" si="937">P452*62.4%</f>
        <v>0.96511999999999998</v>
      </c>
      <c r="R452" s="9">
        <f t="shared" ref="R452" si="938">IF(G452=100,L452,Q452)</f>
        <v>0.96511999999999998</v>
      </c>
      <c r="S452" s="9">
        <f t="shared" ref="S452" si="939">100*L452/Q452</f>
        <v>70.993906342101397</v>
      </c>
      <c r="T452" s="9">
        <f t="shared" ref="T452" si="940">R452</f>
        <v>0.96511999999999998</v>
      </c>
      <c r="U452" s="9">
        <f t="shared" ref="U452" si="941">L452</f>
        <v>0.68517638888888899</v>
      </c>
      <c r="V452" s="9">
        <f t="shared" ref="V452" si="942">T452*H452%</f>
        <v>0</v>
      </c>
      <c r="W452" s="9">
        <f t="shared" ref="W452" si="943">T452*I452%</f>
        <v>0.27988479999999999</v>
      </c>
    </row>
    <row r="453" spans="1:27" x14ac:dyDescent="0.25">
      <c r="A453" s="82">
        <f>'NELIOTA (p&lt;0.5)'!A500</f>
        <v>44864</v>
      </c>
      <c r="B453" s="58" t="str">
        <f>'NELIOTA (p&lt;0.5)'!B500</f>
        <v>17:55-20:15</v>
      </c>
      <c r="C453" s="59">
        <f>'NELIOTA (p&lt;0.5)'!C500</f>
        <v>0.33</v>
      </c>
      <c r="D453" s="120">
        <f>'NELIOTA (p&lt;0.5)'!D500</f>
        <v>100</v>
      </c>
      <c r="E453" s="120" t="str">
        <f>'NELIOTA (p&lt;0.5)'!F500</f>
        <v>excellent</v>
      </c>
      <c r="F453" s="58"/>
      <c r="G453" s="8">
        <f>'NELIOTA (p&lt;0.5)'!H500</f>
        <v>100</v>
      </c>
      <c r="H453" s="8">
        <f>'NELIOTA (p&lt;0.5)'!I500</f>
        <v>0</v>
      </c>
      <c r="I453" s="8">
        <f>'NELIOTA (p&lt;0.5)'!J500</f>
        <v>0</v>
      </c>
      <c r="J453" s="82"/>
      <c r="K453" s="102">
        <f>'NELIOTA (p&lt;0.5)'!M500</f>
        <v>5323.37</v>
      </c>
      <c r="L453" s="93">
        <f t="shared" ref="L453" si="944">K453/3600</f>
        <v>1.4787138888888889</v>
      </c>
      <c r="N453" s="11">
        <v>2</v>
      </c>
      <c r="O453" s="11">
        <v>22.2</v>
      </c>
      <c r="P453" s="9">
        <f t="shared" ref="P453" si="945">N453+O453/60</f>
        <v>2.37</v>
      </c>
      <c r="Q453" s="9">
        <f t="shared" ref="Q453" si="946">P453*62.4%</f>
        <v>1.47888</v>
      </c>
      <c r="R453" s="9">
        <f t="shared" ref="R453" si="947">IF(G453=100,L453,Q453)</f>
        <v>1.4787138888888889</v>
      </c>
      <c r="S453" s="9">
        <f t="shared" ref="S453" si="948">100*L453/Q453</f>
        <v>99.988767776215042</v>
      </c>
      <c r="T453" s="9">
        <f t="shared" ref="T453" si="949">R453</f>
        <v>1.4787138888888889</v>
      </c>
      <c r="U453" s="9">
        <f t="shared" ref="U453" si="950">L453</f>
        <v>1.4787138888888889</v>
      </c>
      <c r="V453" s="9">
        <f t="shared" ref="V453" si="951">T453*H453%</f>
        <v>0</v>
      </c>
      <c r="W453" s="9">
        <f t="shared" ref="W453" si="952">T453*I453%</f>
        <v>0</v>
      </c>
    </row>
    <row r="454" spans="1:27" x14ac:dyDescent="0.25">
      <c r="A454" s="82">
        <f>'NELIOTA (p&lt;0.5)'!A501</f>
        <v>44865</v>
      </c>
      <c r="B454" s="58" t="str">
        <f>'NELIOTA (p&lt;0.5)'!B501</f>
        <v>17:55-21:30</v>
      </c>
      <c r="C454" s="59">
        <f>'NELIOTA (p&lt;0.5)'!C501</f>
        <v>0.44800000000000001</v>
      </c>
      <c r="D454" s="120">
        <f>'NELIOTA (p&lt;0.5)'!D501</f>
        <v>20</v>
      </c>
      <c r="E454" s="120" t="str">
        <f>'NELIOTA (p&lt;0.5)'!F501</f>
        <v>good</v>
      </c>
      <c r="F454" s="58"/>
      <c r="G454" s="8">
        <f>'NELIOTA (p&lt;0.5)'!H501</f>
        <v>20</v>
      </c>
      <c r="H454" s="8">
        <f>'NELIOTA (p&lt;0.5)'!I501</f>
        <v>80</v>
      </c>
      <c r="I454" s="8">
        <f>'NELIOTA (p&lt;0.5)'!J501</f>
        <v>0</v>
      </c>
      <c r="J454" s="82"/>
      <c r="K454" s="102">
        <f>'NELIOTA (p&lt;0.5)'!M501</f>
        <v>1817.3219999999999</v>
      </c>
      <c r="L454" s="93">
        <f t="shared" ref="L454" si="953">K454/3600</f>
        <v>0.50481166666666666</v>
      </c>
      <c r="N454" s="11">
        <v>4</v>
      </c>
      <c r="O454" s="11">
        <v>2.7</v>
      </c>
      <c r="P454" s="9">
        <f t="shared" ref="P454" si="954">N454+O454/60</f>
        <v>4.0449999999999999</v>
      </c>
      <c r="Q454" s="9">
        <f t="shared" ref="Q454" si="955">P454*62.4%</f>
        <v>2.5240800000000001</v>
      </c>
      <c r="R454" s="9">
        <f t="shared" ref="R454" si="956">IF(G454=100,L454,Q454)</f>
        <v>2.5240800000000001</v>
      </c>
      <c r="S454" s="9">
        <f t="shared" ref="S454" si="957">100*L454/Q454</f>
        <v>19.999828320285673</v>
      </c>
      <c r="T454" s="9">
        <f t="shared" ref="T454" si="958">R454</f>
        <v>2.5240800000000001</v>
      </c>
      <c r="U454" s="9">
        <f t="shared" ref="U454" si="959">L454</f>
        <v>0.50481166666666666</v>
      </c>
      <c r="V454" s="9">
        <f t="shared" ref="V454" si="960">T454*H454%</f>
        <v>2.0192640000000002</v>
      </c>
      <c r="W454" s="9">
        <f t="shared" ref="W454" si="961">T454*I454%</f>
        <v>0</v>
      </c>
      <c r="X454" s="9">
        <f>SUM(U447:U454)</f>
        <v>10.035410277777778</v>
      </c>
      <c r="Y454" s="9">
        <f>100*X454/SUM(T447:T454)</f>
        <v>77.108189726286298</v>
      </c>
      <c r="Z454" s="9">
        <f>100*SUM(V447:V454)/SUM(T447:T454)</f>
        <v>20.74052509371338</v>
      </c>
      <c r="AA454" s="9">
        <f>100*SUM(W447:W454)/SUM(T447:T454)</f>
        <v>2.1505259538509511</v>
      </c>
    </row>
    <row r="455" spans="1:27" s="48" customFormat="1" x14ac:dyDescent="0.25">
      <c r="A455" s="94">
        <f>'NELIOTA (p&lt;0.5)'!A502</f>
        <v>44883</v>
      </c>
      <c r="B455" s="62" t="str">
        <f>'NELIOTA (p&lt;0.5)'!B502</f>
        <v>02:50-06:45</v>
      </c>
      <c r="C455" s="63">
        <f>'NELIOTA (p&lt;0.5)'!C502</f>
        <v>0.36099999999999999</v>
      </c>
      <c r="D455" s="172">
        <f>'NELIOTA (p&lt;0.5)'!D502</f>
        <v>7</v>
      </c>
      <c r="E455" s="172" t="str">
        <f>'NELIOTA (p&lt;0.5)'!F502</f>
        <v>moderate</v>
      </c>
      <c r="F455" s="62"/>
      <c r="G455" s="24">
        <f>'NELIOTA (p&lt;0.5)'!H502</f>
        <v>7</v>
      </c>
      <c r="H455" s="24">
        <f>'NELIOTA (p&lt;0.5)'!I502</f>
        <v>93</v>
      </c>
      <c r="I455" s="24">
        <f>'NELIOTA (p&lt;0.5)'!J502</f>
        <v>0</v>
      </c>
      <c r="J455" s="94"/>
      <c r="K455" s="100">
        <f>'NELIOTA (p&lt;0.5)'!M502</f>
        <v>663</v>
      </c>
      <c r="L455" s="92">
        <f t="shared" ref="L455:L461" si="962">K455/3600</f>
        <v>0.18416666666666667</v>
      </c>
      <c r="N455" s="47">
        <v>3</v>
      </c>
      <c r="O455" s="47">
        <v>73</v>
      </c>
      <c r="P455" s="33">
        <f t="shared" ref="P455:P461" si="963">N455+O455/60</f>
        <v>4.2166666666666668</v>
      </c>
      <c r="Q455" s="33">
        <f t="shared" ref="Q455:Q461" si="964">P455*62.4%</f>
        <v>2.6312000000000002</v>
      </c>
      <c r="R455" s="33">
        <f t="shared" ref="R455:R461" si="965">IF(G455=100,L455,Q455)</f>
        <v>2.6312000000000002</v>
      </c>
      <c r="S455" s="33">
        <f t="shared" ref="S455:S461" si="966">100*L455/Q455</f>
        <v>6.9993412384716729</v>
      </c>
      <c r="T455" s="33">
        <f t="shared" ref="T455:T461" si="967">R455</f>
        <v>2.6312000000000002</v>
      </c>
      <c r="U455" s="33">
        <f t="shared" ref="U455:U461" si="968">L455</f>
        <v>0.18416666666666667</v>
      </c>
      <c r="V455" s="33">
        <f t="shared" ref="V455:V461" si="969">T455*H455%</f>
        <v>2.4470160000000005</v>
      </c>
      <c r="W455" s="33">
        <f t="shared" ref="W455:W461" si="970">T455*I455%</f>
        <v>0</v>
      </c>
      <c r="X455" s="33"/>
      <c r="Y455" s="33"/>
      <c r="Z455" s="33"/>
      <c r="AA455" s="33"/>
    </row>
    <row r="456" spans="1:27" x14ac:dyDescent="0.25">
      <c r="A456" s="82">
        <f>'NELIOTA (p&lt;0.5)'!A503</f>
        <v>44884</v>
      </c>
      <c r="B456" s="58" t="str">
        <f>'NELIOTA (p&lt;0.5)'!B503</f>
        <v>03:55-06:45</v>
      </c>
      <c r="C456" s="59">
        <f>'NELIOTA (p&lt;0.5)'!C503</f>
        <v>0.26400000000000001</v>
      </c>
      <c r="D456" s="120">
        <f>'NELIOTA (p&lt;0.5)'!D503</f>
        <v>59</v>
      </c>
      <c r="E456" s="120" t="str">
        <f>'NELIOTA (p&lt;0.5)'!F503</f>
        <v>moderate</v>
      </c>
      <c r="F456" s="58"/>
      <c r="G456" s="8">
        <f>'NELIOTA (p&lt;0.5)'!H503</f>
        <v>59</v>
      </c>
      <c r="H456" s="8">
        <f>'NELIOTA (p&lt;0.5)'!I503</f>
        <v>41</v>
      </c>
      <c r="I456" s="8">
        <f>'NELIOTA (p&lt;0.5)'!J503</f>
        <v>0</v>
      </c>
      <c r="J456" s="82"/>
      <c r="K456" s="102">
        <f>'NELIOTA (p&lt;0.5)'!M503</f>
        <v>4378.95</v>
      </c>
      <c r="L456" s="93">
        <f t="shared" si="962"/>
        <v>1.216375</v>
      </c>
      <c r="N456" s="11">
        <v>2</v>
      </c>
      <c r="O456" s="11">
        <v>78.2</v>
      </c>
      <c r="P456" s="9">
        <f t="shared" si="963"/>
        <v>3.3033333333333337</v>
      </c>
      <c r="Q456" s="9">
        <f t="shared" si="964"/>
        <v>2.06128</v>
      </c>
      <c r="R456" s="9">
        <f t="shared" si="965"/>
        <v>2.06128</v>
      </c>
      <c r="S456" s="9">
        <f t="shared" si="966"/>
        <v>59.010663277186993</v>
      </c>
      <c r="T456" s="9">
        <f t="shared" si="967"/>
        <v>2.06128</v>
      </c>
      <c r="U456" s="9">
        <f t="shared" si="968"/>
        <v>1.216375</v>
      </c>
      <c r="V456" s="9">
        <f t="shared" si="969"/>
        <v>0.8451247999999999</v>
      </c>
      <c r="W456" s="9">
        <f t="shared" si="970"/>
        <v>0</v>
      </c>
      <c r="X456" s="9"/>
      <c r="Y456" s="9"/>
      <c r="Z456" s="9"/>
      <c r="AA456" s="9"/>
    </row>
    <row r="457" spans="1:27" x14ac:dyDescent="0.25">
      <c r="A457" s="82">
        <f>'NELIOTA (p&lt;0.5)'!A504</f>
        <v>44885</v>
      </c>
      <c r="B457" s="58" t="str">
        <f>'NELIOTA (p&lt;0.5)'!B504</f>
        <v>05:00-06:45</v>
      </c>
      <c r="C457" s="59">
        <f>'NELIOTA (p&lt;0.5)'!C504</f>
        <v>0.17499999999999999</v>
      </c>
      <c r="D457" s="120">
        <f>'NELIOTA (p&lt;0.5)'!D504</f>
        <v>0</v>
      </c>
      <c r="E457" s="120" t="str">
        <f>'NELIOTA (p&lt;0.5)'!F504</f>
        <v>Cloudiness</v>
      </c>
      <c r="F457" s="58"/>
      <c r="G457" s="8">
        <f>'NELIOTA (p&lt;0.5)'!H504</f>
        <v>0</v>
      </c>
      <c r="H457" s="8">
        <f>'NELIOTA (p&lt;0.5)'!I504</f>
        <v>100</v>
      </c>
      <c r="I457" s="8">
        <f>'NELIOTA (p&lt;0.5)'!J504</f>
        <v>0</v>
      </c>
      <c r="J457" s="82"/>
      <c r="K457" s="102">
        <f>'NELIOTA (p&lt;0.5)'!M504</f>
        <v>0</v>
      </c>
      <c r="L457" s="93">
        <f t="shared" si="962"/>
        <v>0</v>
      </c>
      <c r="N457" s="11">
        <v>1</v>
      </c>
      <c r="O457" s="11">
        <v>45</v>
      </c>
      <c r="P457" s="9">
        <f t="shared" si="963"/>
        <v>1.75</v>
      </c>
      <c r="Q457" s="9">
        <f t="shared" si="964"/>
        <v>1.0920000000000001</v>
      </c>
      <c r="R457" s="9">
        <f t="shared" si="965"/>
        <v>1.0920000000000001</v>
      </c>
      <c r="S457" s="9">
        <f t="shared" si="966"/>
        <v>0</v>
      </c>
      <c r="T457" s="9">
        <f t="shared" si="967"/>
        <v>1.0920000000000001</v>
      </c>
      <c r="U457" s="9">
        <f t="shared" si="968"/>
        <v>0</v>
      </c>
      <c r="V457" s="9">
        <f t="shared" si="969"/>
        <v>1.0920000000000001</v>
      </c>
      <c r="W457" s="9">
        <f t="shared" si="970"/>
        <v>0</v>
      </c>
      <c r="X457" s="9"/>
      <c r="Y457" s="9"/>
      <c r="Z457" s="9"/>
      <c r="AA457" s="9"/>
    </row>
    <row r="458" spans="1:27" x14ac:dyDescent="0.25">
      <c r="A458" s="82">
        <f>'NELIOTA (p&lt;0.5)'!A505</f>
        <v>44886</v>
      </c>
      <c r="B458" s="58" t="str">
        <f>'NELIOTA (p&lt;0.5)'!B505</f>
        <v>06:10-06:45</v>
      </c>
      <c r="C458" s="59">
        <f>'NELIOTA (p&lt;0.5)'!C505</f>
        <v>0.1</v>
      </c>
      <c r="D458" s="120">
        <f>'NELIOTA (p&lt;0.5)'!D505</f>
        <v>0</v>
      </c>
      <c r="E458" s="120" t="str">
        <f>'NELIOTA (p&lt;0.5)'!F505</f>
        <v>Cloudiness</v>
      </c>
      <c r="F458" s="58"/>
      <c r="G458" s="8">
        <f>'NELIOTA (p&lt;0.5)'!H505</f>
        <v>0</v>
      </c>
      <c r="H458" s="8">
        <f>'NELIOTA (p&lt;0.5)'!I505</f>
        <v>100</v>
      </c>
      <c r="I458" s="8">
        <f>'NELIOTA (p&lt;0.5)'!J505</f>
        <v>0</v>
      </c>
      <c r="J458" s="82"/>
      <c r="K458" s="102">
        <f>'NELIOTA (p&lt;0.5)'!M505</f>
        <v>0</v>
      </c>
      <c r="L458" s="93">
        <f t="shared" si="962"/>
        <v>0</v>
      </c>
      <c r="N458" s="11">
        <v>0</v>
      </c>
      <c r="O458" s="11">
        <v>35</v>
      </c>
      <c r="P458" s="9">
        <f t="shared" si="963"/>
        <v>0.58333333333333337</v>
      </c>
      <c r="Q458" s="9">
        <f t="shared" si="964"/>
        <v>0.36400000000000005</v>
      </c>
      <c r="R458" s="9">
        <f t="shared" si="965"/>
        <v>0.36400000000000005</v>
      </c>
      <c r="S458" s="9">
        <f t="shared" si="966"/>
        <v>0</v>
      </c>
      <c r="T458" s="9">
        <f t="shared" si="967"/>
        <v>0.36400000000000005</v>
      </c>
      <c r="U458" s="9">
        <f t="shared" si="968"/>
        <v>0</v>
      </c>
      <c r="V458" s="9">
        <f t="shared" si="969"/>
        <v>0.36400000000000005</v>
      </c>
      <c r="W458" s="9">
        <f t="shared" si="970"/>
        <v>0</v>
      </c>
      <c r="X458" s="9"/>
      <c r="Y458" s="9"/>
      <c r="Z458" s="9"/>
      <c r="AA458" s="9"/>
    </row>
    <row r="459" spans="1:27" x14ac:dyDescent="0.25">
      <c r="A459" s="82">
        <f>'NELIOTA (p&lt;0.5)'!A506</f>
        <v>44892</v>
      </c>
      <c r="B459" s="58" t="str">
        <f>'NELIOTA (p&lt;0.5)'!B506</f>
        <v>17:35-19:20</v>
      </c>
      <c r="C459" s="59">
        <f>'NELIOTA (p&lt;0.5)'!C506</f>
        <v>0.189</v>
      </c>
      <c r="D459" s="120">
        <f>'NELIOTA (p&lt;0.5)'!D506</f>
        <v>0</v>
      </c>
      <c r="E459" s="120" t="str">
        <f>'NELIOTA (p&lt;0.5)'!F506</f>
        <v>Cloudiness</v>
      </c>
      <c r="F459" s="58"/>
      <c r="G459" s="8">
        <f>'NELIOTA (p&lt;0.5)'!H506</f>
        <v>0</v>
      </c>
      <c r="H459" s="8">
        <f>'NELIOTA (p&lt;0.5)'!I506</f>
        <v>100</v>
      </c>
      <c r="I459" s="8">
        <f>'NELIOTA (p&lt;0.5)'!J506</f>
        <v>0</v>
      </c>
      <c r="J459" s="82"/>
      <c r="K459" s="102">
        <f>'NELIOTA (p&lt;0.5)'!M506</f>
        <v>0</v>
      </c>
      <c r="L459" s="93">
        <f t="shared" si="962"/>
        <v>0</v>
      </c>
      <c r="N459" s="11">
        <v>1</v>
      </c>
      <c r="O459" s="11">
        <v>45</v>
      </c>
      <c r="P459" s="9">
        <f t="shared" si="963"/>
        <v>1.75</v>
      </c>
      <c r="Q459" s="9">
        <f t="shared" si="964"/>
        <v>1.0920000000000001</v>
      </c>
      <c r="R459" s="9">
        <f t="shared" si="965"/>
        <v>1.0920000000000001</v>
      </c>
      <c r="S459" s="9">
        <f t="shared" si="966"/>
        <v>0</v>
      </c>
      <c r="T459" s="9">
        <f t="shared" si="967"/>
        <v>1.0920000000000001</v>
      </c>
      <c r="U459" s="9">
        <f t="shared" si="968"/>
        <v>0</v>
      </c>
      <c r="V459" s="9">
        <f t="shared" si="969"/>
        <v>1.0920000000000001</v>
      </c>
      <c r="W459" s="9">
        <f t="shared" si="970"/>
        <v>0</v>
      </c>
      <c r="X459" s="9"/>
      <c r="Y459" s="9"/>
      <c r="Z459" s="9"/>
      <c r="AA459" s="9"/>
    </row>
    <row r="460" spans="1:27" x14ac:dyDescent="0.25">
      <c r="A460" s="82">
        <f>'NELIOTA (p&lt;0.5)'!A507</f>
        <v>44893</v>
      </c>
      <c r="B460" s="58" t="str">
        <f>'NELIOTA (p&lt;0.5)'!B507</f>
        <v>17:35-20:40</v>
      </c>
      <c r="C460" s="59">
        <f>'NELIOTA (p&lt;0.5)'!C507</f>
        <v>0.29499999999999998</v>
      </c>
      <c r="D460" s="120">
        <f>'NELIOTA (p&lt;0.5)'!D507</f>
        <v>0</v>
      </c>
      <c r="E460" s="120" t="str">
        <f>'NELIOTA (p&lt;0.5)'!F507</f>
        <v>Cloudiness</v>
      </c>
      <c r="F460" s="58"/>
      <c r="G460" s="8">
        <f>'NELIOTA (p&lt;0.5)'!H507</f>
        <v>0</v>
      </c>
      <c r="H460" s="8">
        <f>'NELIOTA (p&lt;0.5)'!I507</f>
        <v>100</v>
      </c>
      <c r="I460" s="8">
        <f>'NELIOTA (p&lt;0.5)'!J507</f>
        <v>0</v>
      </c>
      <c r="J460" s="82"/>
      <c r="K460" s="102">
        <f>'NELIOTA (p&lt;0.5)'!M507</f>
        <v>0</v>
      </c>
      <c r="L460" s="93">
        <f t="shared" si="962"/>
        <v>0</v>
      </c>
      <c r="N460" s="11">
        <v>3</v>
      </c>
      <c r="O460" s="11">
        <v>5</v>
      </c>
      <c r="P460" s="9">
        <f t="shared" si="963"/>
        <v>3.0833333333333335</v>
      </c>
      <c r="Q460" s="9">
        <f t="shared" si="964"/>
        <v>1.9240000000000002</v>
      </c>
      <c r="R460" s="9">
        <f t="shared" si="965"/>
        <v>1.9240000000000002</v>
      </c>
      <c r="S460" s="9">
        <f t="shared" si="966"/>
        <v>0</v>
      </c>
      <c r="T460" s="9">
        <f t="shared" si="967"/>
        <v>1.9240000000000002</v>
      </c>
      <c r="U460" s="9">
        <f t="shared" si="968"/>
        <v>0</v>
      </c>
      <c r="V460" s="9">
        <f t="shared" si="969"/>
        <v>1.9240000000000002</v>
      </c>
      <c r="W460" s="9">
        <f t="shared" si="970"/>
        <v>0</v>
      </c>
      <c r="X460" s="9"/>
      <c r="Y460" s="9"/>
      <c r="Z460" s="9"/>
      <c r="AA460" s="9"/>
    </row>
    <row r="461" spans="1:27" x14ac:dyDescent="0.25">
      <c r="A461" s="82">
        <f>'NELIOTA (p&lt;0.5)'!A508</f>
        <v>44894</v>
      </c>
      <c r="B461" s="58" t="str">
        <f>'NELIOTA (p&lt;0.5)'!B508</f>
        <v>17:35-22:00</v>
      </c>
      <c r="C461" s="59">
        <f>'NELIOTA (p&lt;0.5)'!C508</f>
        <v>0.41199999999999998</v>
      </c>
      <c r="D461" s="120">
        <f>'NELIOTA (p&lt;0.5)'!D508</f>
        <v>0</v>
      </c>
      <c r="E461" s="120" t="str">
        <f>'NELIOTA (p&lt;0.5)'!F508</f>
        <v>Cloudiness</v>
      </c>
      <c r="F461" s="58"/>
      <c r="G461" s="8">
        <f>'NELIOTA (p&lt;0.5)'!H508</f>
        <v>0</v>
      </c>
      <c r="H461" s="8">
        <f>'NELIOTA (p&lt;0.5)'!I508</f>
        <v>100</v>
      </c>
      <c r="I461" s="8">
        <f>'NELIOTA (p&lt;0.5)'!J508</f>
        <v>0</v>
      </c>
      <c r="J461" s="82"/>
      <c r="K461" s="102">
        <f>'NELIOTA (p&lt;0.5)'!M508</f>
        <v>0</v>
      </c>
      <c r="L461" s="93">
        <f t="shared" si="962"/>
        <v>0</v>
      </c>
      <c r="N461" s="11">
        <v>4</v>
      </c>
      <c r="O461" s="11">
        <v>25</v>
      </c>
      <c r="P461" s="9">
        <f t="shared" si="963"/>
        <v>4.416666666666667</v>
      </c>
      <c r="Q461" s="9">
        <f t="shared" si="964"/>
        <v>2.7560000000000002</v>
      </c>
      <c r="R461" s="9">
        <f t="shared" si="965"/>
        <v>2.7560000000000002</v>
      </c>
      <c r="S461" s="9">
        <f t="shared" si="966"/>
        <v>0</v>
      </c>
      <c r="T461" s="9">
        <f t="shared" si="967"/>
        <v>2.7560000000000002</v>
      </c>
      <c r="U461" s="9">
        <f t="shared" si="968"/>
        <v>0</v>
      </c>
      <c r="V461" s="9">
        <f t="shared" si="969"/>
        <v>2.7560000000000002</v>
      </c>
      <c r="W461" s="9">
        <f t="shared" si="970"/>
        <v>0</v>
      </c>
      <c r="X461" s="9">
        <f>SUM(U455:U461)</f>
        <v>1.4005416666666666</v>
      </c>
      <c r="Y461" s="9">
        <f>100*X461/SUM(T455:T461)</f>
        <v>11.749037510793748</v>
      </c>
      <c r="Z461" s="9">
        <f>100*SUM(V455:V461)/SUM(T455:T461)</f>
        <v>88.25266096667248</v>
      </c>
      <c r="AA461" s="9">
        <f>100*SUM(W455:W461)/SUM(T455:T461)</f>
        <v>0</v>
      </c>
    </row>
    <row r="462" spans="1:27" s="48" customFormat="1" x14ac:dyDescent="0.25">
      <c r="A462" s="94">
        <f>'NELIOTA (p&lt;0.5)'!A509</f>
        <v>44912</v>
      </c>
      <c r="B462" s="62" t="str">
        <f>'NELIOTA (p&lt;0.5)'!B509</f>
        <v>02:40-07:15</v>
      </c>
      <c r="C462" s="63">
        <f>'NELIOTA (p&lt;0.5)'!C509</f>
        <v>0.437</v>
      </c>
      <c r="D462" s="172">
        <f>'NELIOTA (p&lt;0.5)'!D509</f>
        <v>68</v>
      </c>
      <c r="E462" s="172" t="str">
        <f>'NELIOTA (p&lt;0.5)'!F509</f>
        <v>moderate</v>
      </c>
      <c r="F462" s="62"/>
      <c r="G462" s="24">
        <f>'NELIOTA (p&lt;0.5)'!H509</f>
        <v>68</v>
      </c>
      <c r="H462" s="24">
        <f>'NELIOTA (p&lt;0.5)'!I509</f>
        <v>32</v>
      </c>
      <c r="I462" s="24">
        <f>'NELIOTA (p&lt;0.5)'!J509</f>
        <v>0</v>
      </c>
      <c r="J462" s="94"/>
      <c r="K462" s="100">
        <f>'NELIOTA (p&lt;0.5)'!M509</f>
        <v>8154.3280000000004</v>
      </c>
      <c r="L462" s="92">
        <f t="shared" ref="L462" si="971">K462/3600</f>
        <v>2.2650911111111114</v>
      </c>
      <c r="N462" s="47">
        <v>4</v>
      </c>
      <c r="O462" s="47">
        <v>35</v>
      </c>
      <c r="P462" s="33">
        <f t="shared" ref="P462" si="972">N462+O462/60</f>
        <v>4.583333333333333</v>
      </c>
      <c r="Q462" s="33">
        <f>P462*72.6%</f>
        <v>3.3274999999999997</v>
      </c>
      <c r="R462" s="33">
        <f t="shared" ref="R462" si="973">IF(G462=100,L462,Q462)</f>
        <v>3.3274999999999997</v>
      </c>
      <c r="S462" s="33">
        <f t="shared" ref="S462" si="974">100*L462/Q462</f>
        <v>68.071859086735131</v>
      </c>
      <c r="T462" s="33">
        <f t="shared" ref="T462" si="975">R462</f>
        <v>3.3274999999999997</v>
      </c>
      <c r="U462" s="33">
        <f t="shared" ref="U462" si="976">L462</f>
        <v>2.2650911111111114</v>
      </c>
      <c r="V462" s="33">
        <f t="shared" ref="V462" si="977">T462*H462%</f>
        <v>1.0648</v>
      </c>
      <c r="W462" s="33">
        <f t="shared" ref="W462" si="978">T462*I462%</f>
        <v>0</v>
      </c>
      <c r="X462" s="33"/>
      <c r="Y462" s="33"/>
      <c r="Z462" s="33"/>
      <c r="AA462" s="33"/>
    </row>
    <row r="463" spans="1:27" x14ac:dyDescent="0.25">
      <c r="A463" s="82">
        <f>'NELIOTA (p&lt;0.5)'!A510</f>
        <v>44913</v>
      </c>
      <c r="B463" s="58" t="str">
        <f>'NELIOTA (p&lt;0.5)'!B510</f>
        <v>03:45-07:15</v>
      </c>
      <c r="C463" s="59">
        <f>'NELIOTA (p&lt;0.5)'!C510</f>
        <v>0.33300000000000002</v>
      </c>
      <c r="D463" s="120">
        <f>'NELIOTA (p&lt;0.5)'!D510</f>
        <v>51</v>
      </c>
      <c r="E463" s="120" t="str">
        <f>'NELIOTA (p&lt;0.5)'!F510</f>
        <v>good</v>
      </c>
      <c r="F463" s="58"/>
      <c r="G463" s="8">
        <f>'NELIOTA (p&lt;0.5)'!H510</f>
        <v>51</v>
      </c>
      <c r="H463" s="8">
        <f>'NELIOTA (p&lt;0.5)'!I510</f>
        <v>49</v>
      </c>
      <c r="I463" s="8">
        <f>'NELIOTA (p&lt;0.5)'!J510</f>
        <v>0</v>
      </c>
      <c r="J463" s="82"/>
      <c r="K463" s="102">
        <f>'NELIOTA (p&lt;0.5)'!M510</f>
        <v>4688</v>
      </c>
      <c r="L463" s="93">
        <f t="shared" ref="L463" si="979">K463/3600</f>
        <v>1.3022222222222222</v>
      </c>
      <c r="N463" s="11">
        <v>3</v>
      </c>
      <c r="O463" s="11">
        <v>30</v>
      </c>
      <c r="P463" s="9">
        <f t="shared" ref="P463" si="980">N463+O463/60</f>
        <v>3.5</v>
      </c>
      <c r="Q463" s="9">
        <f>P463*73%</f>
        <v>2.5549999999999997</v>
      </c>
      <c r="R463" s="9">
        <f t="shared" ref="R463" si="981">IF(G463=100,L463,Q463)</f>
        <v>2.5549999999999997</v>
      </c>
      <c r="S463" s="9">
        <f t="shared" ref="S463" si="982">100*L463/Q463</f>
        <v>50.967601652533169</v>
      </c>
      <c r="T463" s="9">
        <f t="shared" ref="T463" si="983">R463</f>
        <v>2.5549999999999997</v>
      </c>
      <c r="U463" s="9">
        <f t="shared" ref="U463" si="984">L463</f>
        <v>1.3022222222222222</v>
      </c>
      <c r="V463" s="9">
        <f t="shared" ref="V463" si="985">T463*H463%</f>
        <v>1.2519499999999999</v>
      </c>
      <c r="W463" s="9">
        <f t="shared" ref="W463" si="986">T463*I463%</f>
        <v>0</v>
      </c>
      <c r="X463" s="9"/>
      <c r="Y463" s="9"/>
      <c r="Z463" s="9"/>
      <c r="AA463" s="9"/>
    </row>
    <row r="464" spans="1:27" x14ac:dyDescent="0.25">
      <c r="A464" s="82">
        <f>'NELIOTA (p&lt;0.5)'!A511</f>
        <v>44914</v>
      </c>
      <c r="B464" s="58" t="str">
        <f>'NELIOTA (p&lt;0.5)'!B511</f>
        <v>05:00-07:15</v>
      </c>
      <c r="C464" s="59">
        <f>'NELIOTA (p&lt;0.5)'!C511</f>
        <v>0.23200000000000001</v>
      </c>
      <c r="D464" s="120">
        <f>'NELIOTA (p&lt;0.5)'!D511</f>
        <v>0</v>
      </c>
      <c r="E464" s="120" t="str">
        <f>'NELIOTA (p&lt;0.5)'!F511</f>
        <v>Cloudiness</v>
      </c>
      <c r="F464" s="58"/>
      <c r="G464" s="8">
        <f>'NELIOTA (p&lt;0.5)'!H511</f>
        <v>0</v>
      </c>
      <c r="H464" s="8">
        <f>'NELIOTA (p&lt;0.5)'!I511</f>
        <v>100</v>
      </c>
      <c r="I464" s="8">
        <f>'NELIOTA (p&lt;0.5)'!J511</f>
        <v>0</v>
      </c>
      <c r="J464" s="82"/>
      <c r="K464" s="102">
        <f>'NELIOTA (p&lt;0.5)'!M511</f>
        <v>0</v>
      </c>
      <c r="L464" s="93">
        <f t="shared" ref="L464:L465" si="987">K464/3600</f>
        <v>0</v>
      </c>
      <c r="N464" s="11">
        <v>2</v>
      </c>
      <c r="O464" s="11">
        <v>15</v>
      </c>
      <c r="P464" s="9">
        <f t="shared" ref="P464:P465" si="988">N464+O464/60</f>
        <v>2.25</v>
      </c>
      <c r="Q464" s="9">
        <f t="shared" ref="Q464:Q465" si="989">P464*62.4%</f>
        <v>1.4039999999999999</v>
      </c>
      <c r="R464" s="9">
        <f t="shared" ref="R464:R465" si="990">IF(G464=100,L464,Q464)</f>
        <v>1.4039999999999999</v>
      </c>
      <c r="S464" s="9">
        <f t="shared" ref="S464:S465" si="991">100*L464/Q464</f>
        <v>0</v>
      </c>
      <c r="T464" s="9">
        <f t="shared" ref="T464:T465" si="992">R464</f>
        <v>1.4039999999999999</v>
      </c>
      <c r="U464" s="9">
        <f t="shared" ref="U464:U465" si="993">L464</f>
        <v>0</v>
      </c>
      <c r="V464" s="9">
        <f t="shared" ref="V464:V465" si="994">T464*H464%</f>
        <v>1.4039999999999999</v>
      </c>
      <c r="W464" s="9">
        <f t="shared" ref="W464:W465" si="995">T464*I464%</f>
        <v>0</v>
      </c>
      <c r="X464" s="9"/>
      <c r="Y464" s="9"/>
      <c r="Z464" s="9"/>
      <c r="AA464" s="9"/>
    </row>
    <row r="465" spans="1:27" x14ac:dyDescent="0.25">
      <c r="A465" s="82">
        <f>'NELIOTA (p&lt;0.5)'!A512</f>
        <v>44915</v>
      </c>
      <c r="B465" s="58" t="str">
        <f>'NELIOTA (p&lt;0.5)'!B512</f>
        <v>06:15-07:15</v>
      </c>
      <c r="C465" s="59">
        <f>'NELIOTA (p&lt;0.5)'!C512</f>
        <v>0.14099999999999999</v>
      </c>
      <c r="D465" s="120">
        <f>'NELIOTA (p&lt;0.5)'!D512</f>
        <v>0</v>
      </c>
      <c r="E465" s="120" t="str">
        <f>'NELIOTA (p&lt;0.5)'!F512</f>
        <v>Cloudiness</v>
      </c>
      <c r="F465" s="58"/>
      <c r="G465" s="8">
        <f>'NELIOTA (p&lt;0.5)'!H512</f>
        <v>0</v>
      </c>
      <c r="H465" s="8">
        <f>'NELIOTA (p&lt;0.5)'!I512</f>
        <v>100</v>
      </c>
      <c r="I465" s="8">
        <f>'NELIOTA (p&lt;0.5)'!J512</f>
        <v>0</v>
      </c>
      <c r="J465" s="82"/>
      <c r="K465" s="102">
        <f>'NELIOTA (p&lt;0.5)'!M512</f>
        <v>0</v>
      </c>
      <c r="L465" s="93">
        <f t="shared" si="987"/>
        <v>0</v>
      </c>
      <c r="N465" s="11">
        <v>1</v>
      </c>
      <c r="O465" s="11">
        <v>0</v>
      </c>
      <c r="P465" s="9">
        <f t="shared" si="988"/>
        <v>1</v>
      </c>
      <c r="Q465" s="9">
        <f t="shared" si="989"/>
        <v>0.624</v>
      </c>
      <c r="R465" s="9">
        <f t="shared" si="990"/>
        <v>0.624</v>
      </c>
      <c r="S465" s="9">
        <f t="shared" si="991"/>
        <v>0</v>
      </c>
      <c r="T465" s="9">
        <f t="shared" si="992"/>
        <v>0.624</v>
      </c>
      <c r="U465" s="9">
        <f t="shared" si="993"/>
        <v>0</v>
      </c>
      <c r="V465" s="9">
        <f t="shared" si="994"/>
        <v>0.624</v>
      </c>
      <c r="W465" s="9">
        <f t="shared" si="995"/>
        <v>0</v>
      </c>
      <c r="X465" s="9"/>
      <c r="Y465" s="9"/>
      <c r="Z465" s="9"/>
      <c r="AA465" s="9"/>
    </row>
    <row r="466" spans="1:27" x14ac:dyDescent="0.25">
      <c r="A466" s="82">
        <f>'NELIOTA (p&lt;0.5)'!A513</f>
        <v>44921</v>
      </c>
      <c r="B466" s="58" t="str">
        <f>'NELIOTA (p&lt;0.5)'!B513</f>
        <v>17:40-19:35</v>
      </c>
      <c r="C466" s="59">
        <f>'NELIOTA (p&lt;0.5)'!C513</f>
        <v>0.155</v>
      </c>
      <c r="D466" s="120">
        <f>'NELIOTA (p&lt;0.5)'!D513</f>
        <v>100</v>
      </c>
      <c r="E466" s="120" t="str">
        <f>'NELIOTA (p&lt;0.5)'!F513</f>
        <v>very good</v>
      </c>
      <c r="F466" s="58"/>
      <c r="G466" s="8">
        <f>'NELIOTA (p&lt;0.5)'!H513</f>
        <v>100</v>
      </c>
      <c r="H466" s="8">
        <f>'NELIOTA (p&lt;0.5)'!I513</f>
        <v>0</v>
      </c>
      <c r="I466" s="8">
        <f>'NELIOTA (p&lt;0.5)'!J513</f>
        <v>0</v>
      </c>
      <c r="J466" s="82"/>
      <c r="K466" s="102">
        <f>'NELIOTA (p&lt;0.5)'!M513</f>
        <v>4183.01</v>
      </c>
      <c r="L466" s="93">
        <f t="shared" ref="L466" si="996">K466/3600</f>
        <v>1.1619472222222222</v>
      </c>
      <c r="N466" s="11">
        <v>1</v>
      </c>
      <c r="O466" s="11">
        <v>55</v>
      </c>
      <c r="P466" s="9">
        <f t="shared" ref="P466" si="997">N466+O466/60</f>
        <v>1.9166666666666665</v>
      </c>
      <c r="Q466" s="9">
        <f>P466*60.6%</f>
        <v>1.1615</v>
      </c>
      <c r="R466" s="9">
        <f t="shared" ref="R466" si="998">IF(G466=100,L466,Q466)</f>
        <v>1.1619472222222222</v>
      </c>
      <c r="S466" s="9">
        <f t="shared" ref="S466" si="999">100*L466/Q466</f>
        <v>100.03850385038504</v>
      </c>
      <c r="T466" s="9">
        <f t="shared" ref="T466" si="1000">R466</f>
        <v>1.1619472222222222</v>
      </c>
      <c r="U466" s="9">
        <f t="shared" ref="U466" si="1001">L466</f>
        <v>1.1619472222222222</v>
      </c>
      <c r="V466" s="9">
        <f t="shared" ref="V466" si="1002">T466*H466%</f>
        <v>0</v>
      </c>
      <c r="W466" s="9">
        <f t="shared" ref="W466" si="1003">T466*I466%</f>
        <v>0</v>
      </c>
      <c r="X466" s="9"/>
      <c r="Y466" s="9"/>
      <c r="Z466" s="9"/>
      <c r="AA466" s="9"/>
    </row>
    <row r="467" spans="1:27" x14ac:dyDescent="0.25">
      <c r="A467" s="82">
        <f>'NELIOTA (p&lt;0.5)'!A514</f>
        <v>44922</v>
      </c>
      <c r="B467" s="58" t="str">
        <f>'NELIOTA (p&lt;0.5)'!B514</f>
        <v>17:40-21:00</v>
      </c>
      <c r="C467" s="59">
        <f>'NELIOTA (p&lt;0.5)'!C514</f>
        <v>0.25600000000000001</v>
      </c>
      <c r="D467" s="120">
        <f>'NELIOTA (p&lt;0.5)'!D514</f>
        <v>100</v>
      </c>
      <c r="E467" s="120" t="str">
        <f>'NELIOTA (p&lt;0.5)'!F514</f>
        <v>very good</v>
      </c>
      <c r="F467" s="58"/>
      <c r="G467" s="8">
        <f>'NELIOTA (p&lt;0.5)'!H514</f>
        <v>100</v>
      </c>
      <c r="H467" s="8">
        <f>'NELIOTA (p&lt;0.5)'!I514</f>
        <v>0</v>
      </c>
      <c r="I467" s="8">
        <f>'NELIOTA (p&lt;0.5)'!J514</f>
        <v>0</v>
      </c>
      <c r="J467" s="82"/>
      <c r="K467" s="102">
        <f>'NELIOTA (p&lt;0.5)'!M514</f>
        <v>7126.2969999999996</v>
      </c>
      <c r="L467" s="93">
        <f t="shared" ref="L467" si="1004">K467/3600</f>
        <v>1.9795269444444443</v>
      </c>
      <c r="N467" s="11">
        <v>3</v>
      </c>
      <c r="O467" s="11">
        <v>20</v>
      </c>
      <c r="P467" s="9">
        <f t="shared" ref="P467" si="1005">N467+O467/60</f>
        <v>3.3333333333333335</v>
      </c>
      <c r="Q467" s="9">
        <f>P467*59.4%</f>
        <v>1.98</v>
      </c>
      <c r="R467" s="9">
        <f t="shared" ref="R467" si="1006">IF(G467=100,L467,Q467)</f>
        <v>1.9795269444444443</v>
      </c>
      <c r="S467" s="9">
        <f t="shared" ref="S467" si="1007">100*L467/Q467</f>
        <v>99.976108305274963</v>
      </c>
      <c r="T467" s="9">
        <f t="shared" ref="T467" si="1008">R467</f>
        <v>1.9795269444444443</v>
      </c>
      <c r="U467" s="9">
        <f t="shared" ref="U467" si="1009">L467</f>
        <v>1.9795269444444443</v>
      </c>
      <c r="V467" s="9">
        <f t="shared" ref="V467" si="1010">T467*H467%</f>
        <v>0</v>
      </c>
      <c r="W467" s="9">
        <f t="shared" ref="W467" si="1011">T467*I467%</f>
        <v>0</v>
      </c>
      <c r="X467" s="9"/>
      <c r="Y467" s="9"/>
      <c r="Z467" s="9"/>
      <c r="AA467" s="9"/>
    </row>
    <row r="468" spans="1:27" x14ac:dyDescent="0.25">
      <c r="A468" s="82">
        <f>'NELIOTA (p&lt;0.5)'!A515</f>
        <v>44923</v>
      </c>
      <c r="B468" s="58" t="str">
        <f>'NELIOTA (p&lt;0.5)'!B515</f>
        <v>17:40-22:10</v>
      </c>
      <c r="C468" s="59">
        <f>'NELIOTA (p&lt;0.5)'!C515</f>
        <v>0.36699999999999999</v>
      </c>
      <c r="D468" s="120">
        <f>'NELIOTA (p&lt;0.5)'!D515</f>
        <v>0</v>
      </c>
      <c r="E468" s="120" t="str">
        <f>'NELIOTA (p&lt;0.5)'!F515</f>
        <v>Cloudiness</v>
      </c>
      <c r="F468" s="58"/>
      <c r="G468" s="8">
        <f>'NELIOTA (p&lt;0.5)'!H515</f>
        <v>0</v>
      </c>
      <c r="H468" s="8">
        <f>'NELIOTA (p&lt;0.5)'!I515</f>
        <v>100</v>
      </c>
      <c r="I468" s="8">
        <f>'NELIOTA (p&lt;0.5)'!J515</f>
        <v>0</v>
      </c>
      <c r="J468" s="82"/>
      <c r="K468" s="102">
        <f>'NELIOTA (p&lt;0.5)'!M515</f>
        <v>0</v>
      </c>
      <c r="L468" s="93">
        <f t="shared" ref="L468" si="1012">K468/3600</f>
        <v>0</v>
      </c>
      <c r="N468" s="11">
        <v>4</v>
      </c>
      <c r="O468" s="11">
        <v>30</v>
      </c>
      <c r="P468" s="9">
        <f t="shared" ref="P468" si="1013">N468+O468/60</f>
        <v>4.5</v>
      </c>
      <c r="Q468" s="9">
        <f t="shared" ref="Q468" si="1014">P468*62.4%</f>
        <v>2.8079999999999998</v>
      </c>
      <c r="R468" s="9">
        <f t="shared" ref="R468" si="1015">IF(G468=100,L468,Q468)</f>
        <v>2.8079999999999998</v>
      </c>
      <c r="S468" s="9">
        <f t="shared" ref="S468" si="1016">100*L468/Q468</f>
        <v>0</v>
      </c>
      <c r="T468" s="9">
        <f t="shared" ref="T468" si="1017">R468</f>
        <v>2.8079999999999998</v>
      </c>
      <c r="U468" s="9">
        <f t="shared" ref="U468" si="1018">L468</f>
        <v>0</v>
      </c>
      <c r="V468" s="9">
        <f t="shared" ref="V468" si="1019">T468*H468%</f>
        <v>2.8079999999999998</v>
      </c>
      <c r="W468" s="9">
        <f t="shared" ref="W468" si="1020">T468*I468%</f>
        <v>0</v>
      </c>
      <c r="X468" s="9">
        <f>SUM(U462:U468)</f>
        <v>6.7087875000000006</v>
      </c>
      <c r="Y468" s="9">
        <f>100*X468/SUM(T462:T468)</f>
        <v>48.404040435621312</v>
      </c>
      <c r="Z468" s="9">
        <f>100*SUM(V462:V468)/SUM(T462:T468)</f>
        <v>51.607239046681727</v>
      </c>
      <c r="AA468" s="9">
        <f>100*SUM(W462:W468)/SUM(T462:T468)</f>
        <v>0</v>
      </c>
    </row>
    <row r="469" spans="1:27" s="48" customFormat="1" x14ac:dyDescent="0.25">
      <c r="A469" s="94">
        <f>'NELIOTA (p&lt;0.5)'!A517</f>
        <v>44942</v>
      </c>
      <c r="B469" s="62" t="str">
        <f>'NELIOTA (p&lt;0.5)'!B517</f>
        <v>03:50-07:20</v>
      </c>
      <c r="C469" s="63">
        <f>'NELIOTA (p&lt;0.5)'!C517</f>
        <v>0.40200000000000002</v>
      </c>
      <c r="D469" s="172">
        <f>'NELIOTA (p&lt;0.5)'!D517</f>
        <v>100</v>
      </c>
      <c r="E469" s="172" t="str">
        <f>'NELIOTA (p&lt;0.5)'!F517</f>
        <v>very good</v>
      </c>
      <c r="F469" s="62"/>
      <c r="G469" s="24">
        <f>'NELIOTA (p&lt;0.5)'!H517</f>
        <v>100</v>
      </c>
      <c r="H469" s="24">
        <f>'NELIOTA (p&lt;0.5)'!I517</f>
        <v>0</v>
      </c>
      <c r="I469" s="24">
        <f>'NELIOTA (p&lt;0.5)'!J517</f>
        <v>0</v>
      </c>
      <c r="J469" s="94"/>
      <c r="K469" s="100">
        <f>'NELIOTA (p&lt;0.5)'!M517</f>
        <v>7813.0309999999999</v>
      </c>
      <c r="L469" s="92">
        <f t="shared" ref="L469" si="1021">K469/3600</f>
        <v>2.170286388888889</v>
      </c>
      <c r="N469" s="47">
        <v>3</v>
      </c>
      <c r="O469" s="47">
        <v>30</v>
      </c>
      <c r="P469" s="33">
        <f t="shared" ref="P469" si="1022">N469+O469/60</f>
        <v>3.5</v>
      </c>
      <c r="Q469" s="33">
        <f>P469*62%</f>
        <v>2.17</v>
      </c>
      <c r="R469" s="33">
        <f t="shared" ref="R469" si="1023">IF(G469=100,L469,Q469)</f>
        <v>2.170286388888889</v>
      </c>
      <c r="S469" s="33">
        <f t="shared" ref="S469" si="1024">100*L469/Q469</f>
        <v>100.01319764464927</v>
      </c>
      <c r="T469" s="33">
        <f t="shared" ref="T469" si="1025">R469</f>
        <v>2.170286388888889</v>
      </c>
      <c r="U469" s="33">
        <f t="shared" ref="U469" si="1026">L469</f>
        <v>2.170286388888889</v>
      </c>
      <c r="V469" s="33">
        <f t="shared" ref="V469" si="1027">T469*H469%</f>
        <v>0</v>
      </c>
      <c r="W469" s="33">
        <f t="shared" ref="W469" si="1028">T469*I469%</f>
        <v>0</v>
      </c>
      <c r="X469" s="33"/>
      <c r="Y469" s="33"/>
      <c r="Z469" s="33"/>
      <c r="AA469" s="33"/>
    </row>
    <row r="470" spans="1:27" x14ac:dyDescent="0.25">
      <c r="A470" s="82">
        <f>'NELIOTA (p&lt;0.5)'!A518</f>
        <v>44943</v>
      </c>
      <c r="B470" s="58" t="str">
        <f>'NELIOTA (p&lt;0.5)'!B518</f>
        <v>05:15-07:20</v>
      </c>
      <c r="C470" s="59">
        <f>'NELIOTA (p&lt;0.5)'!C518</f>
        <v>0.28799999999999998</v>
      </c>
      <c r="D470" s="120">
        <f>'NELIOTA (p&lt;0.5)'!D518</f>
        <v>0</v>
      </c>
      <c r="E470" s="120" t="str">
        <f>'NELIOTA (p&lt;0.5)'!F518</f>
        <v>Cloudiness</v>
      </c>
      <c r="F470" s="58"/>
      <c r="G470" s="8">
        <f>'NELIOTA (p&lt;0.5)'!H518</f>
        <v>0</v>
      </c>
      <c r="H470" s="8">
        <f>'NELIOTA (p&lt;0.5)'!I518</f>
        <v>100</v>
      </c>
      <c r="I470" s="8">
        <f>'NELIOTA (p&lt;0.5)'!J518</f>
        <v>0</v>
      </c>
      <c r="J470" s="82"/>
      <c r="K470" s="102">
        <f>'NELIOTA (p&lt;0.5)'!M518</f>
        <v>0</v>
      </c>
      <c r="L470" s="93">
        <f t="shared" ref="L470" si="1029">K470/3600</f>
        <v>0</v>
      </c>
      <c r="N470" s="11">
        <v>2</v>
      </c>
      <c r="O470" s="11">
        <v>5</v>
      </c>
      <c r="P470" s="9">
        <f t="shared" ref="P470" si="1030">N470+O470/60</f>
        <v>2.0833333333333335</v>
      </c>
      <c r="Q470" s="9">
        <f t="shared" ref="Q470" si="1031">P470*62.4%</f>
        <v>1.3</v>
      </c>
      <c r="R470" s="9">
        <f t="shared" ref="R470" si="1032">IF(G470=100,L470,Q470)</f>
        <v>1.3</v>
      </c>
      <c r="S470" s="9">
        <f t="shared" ref="S470" si="1033">100*L470/Q470</f>
        <v>0</v>
      </c>
      <c r="T470" s="9">
        <f t="shared" ref="T470" si="1034">R470</f>
        <v>1.3</v>
      </c>
      <c r="U470" s="9">
        <f t="shared" ref="U470" si="1035">L470</f>
        <v>0</v>
      </c>
      <c r="V470" s="9">
        <f t="shared" ref="V470" si="1036">T470*H470%</f>
        <v>1.3</v>
      </c>
      <c r="W470" s="9">
        <f t="shared" ref="W470" si="1037">T470*I470%</f>
        <v>0</v>
      </c>
      <c r="X470" s="9"/>
      <c r="Y470" s="9"/>
      <c r="Z470" s="9"/>
      <c r="AA470" s="9"/>
    </row>
    <row r="471" spans="1:27" x14ac:dyDescent="0.25">
      <c r="A471" s="82">
        <f>'NELIOTA (p&lt;0.5)'!A519</f>
        <v>44944</v>
      </c>
      <c r="B471" s="58" t="str">
        <f>'NELIOTA (p&lt;0.5)'!B519</f>
        <v>06:45-07:20</v>
      </c>
      <c r="C471" s="59">
        <f>'NELIOTA (p&lt;0.5)'!C519</f>
        <v>0.186</v>
      </c>
      <c r="D471" s="120">
        <f>'NELIOTA (p&lt;0.5)'!D519</f>
        <v>0</v>
      </c>
      <c r="E471" s="120" t="str">
        <f>'NELIOTA (p&lt;0.5)'!F519</f>
        <v>Cloudiness</v>
      </c>
      <c r="F471" s="58"/>
      <c r="G471" s="8">
        <f>'NELIOTA (p&lt;0.5)'!H519</f>
        <v>0</v>
      </c>
      <c r="H471" s="8">
        <f>'NELIOTA (p&lt;0.5)'!I519</f>
        <v>100</v>
      </c>
      <c r="I471" s="8">
        <f>'NELIOTA (p&lt;0.5)'!J519</f>
        <v>0</v>
      </c>
      <c r="J471" s="82"/>
      <c r="K471" s="102">
        <f>'NELIOTA (p&lt;0.5)'!M519</f>
        <v>0</v>
      </c>
      <c r="L471" s="93">
        <f t="shared" ref="L471" si="1038">K471/3600</f>
        <v>0</v>
      </c>
      <c r="N471" s="11">
        <v>0</v>
      </c>
      <c r="O471" s="11">
        <v>35</v>
      </c>
      <c r="P471" s="9">
        <f t="shared" ref="P471" si="1039">N471+O471/60</f>
        <v>0.58333333333333337</v>
      </c>
      <c r="Q471" s="9">
        <f t="shared" ref="Q471" si="1040">P471*62.4%</f>
        <v>0.36400000000000005</v>
      </c>
      <c r="R471" s="9">
        <f t="shared" ref="R471" si="1041">IF(G471=100,L471,Q471)</f>
        <v>0.36400000000000005</v>
      </c>
      <c r="S471" s="9">
        <f t="shared" ref="S471" si="1042">100*L471/Q471</f>
        <v>0</v>
      </c>
      <c r="T471" s="9">
        <f t="shared" ref="T471" si="1043">R471</f>
        <v>0.36400000000000005</v>
      </c>
      <c r="U471" s="9">
        <f t="shared" ref="U471" si="1044">L471</f>
        <v>0</v>
      </c>
      <c r="V471" s="9">
        <f t="shared" ref="V471" si="1045">T471*H471%</f>
        <v>0.36400000000000005</v>
      </c>
      <c r="W471" s="9">
        <f t="shared" ref="W471" si="1046">T471*I471%</f>
        <v>0</v>
      </c>
      <c r="X471" s="9"/>
      <c r="Y471" s="9"/>
      <c r="Z471" s="9"/>
      <c r="AA471" s="9"/>
    </row>
    <row r="472" spans="1:27" x14ac:dyDescent="0.25">
      <c r="A472" s="82">
        <f>'NELIOTA (p&lt;0.5)'!A520</f>
        <v>44950</v>
      </c>
      <c r="B472" s="58" t="str">
        <f>'NELIOTA (p&lt;0.5)'!B520</f>
        <v>18:10-19:50</v>
      </c>
      <c r="C472" s="59">
        <f>'NELIOTA (p&lt;0.5)'!C520</f>
        <v>0.11899999999999999</v>
      </c>
      <c r="D472" s="120">
        <f>'NELIOTA (p&lt;0.5)'!D520</f>
        <v>0</v>
      </c>
      <c r="E472" s="120" t="str">
        <f>'NELIOTA (p&lt;0.5)'!F520</f>
        <v>Cloudiness</v>
      </c>
      <c r="F472" s="58"/>
      <c r="G472" s="8">
        <f>'NELIOTA (p&lt;0.5)'!H520</f>
        <v>0</v>
      </c>
      <c r="H472" s="8">
        <f>'NELIOTA (p&lt;0.5)'!I520</f>
        <v>100</v>
      </c>
      <c r="I472" s="8">
        <f>'NELIOTA (p&lt;0.5)'!J520</f>
        <v>0</v>
      </c>
      <c r="J472" s="82"/>
      <c r="K472" s="102">
        <f>'NELIOTA (p&lt;0.5)'!M520</f>
        <v>0</v>
      </c>
      <c r="L472" s="93">
        <f t="shared" ref="L472:L475" si="1047">K472/3600</f>
        <v>0</v>
      </c>
      <c r="N472" s="11">
        <v>1</v>
      </c>
      <c r="O472" s="11">
        <v>40</v>
      </c>
      <c r="P472" s="9">
        <f t="shared" ref="P472:P475" si="1048">N472+O472/60</f>
        <v>1.6666666666666665</v>
      </c>
      <c r="Q472" s="9">
        <f t="shared" ref="Q472:Q475" si="1049">P472*62.4%</f>
        <v>1.0399999999999998</v>
      </c>
      <c r="R472" s="9">
        <f t="shared" ref="R472:R475" si="1050">IF(G472=100,L472,Q472)</f>
        <v>1.0399999999999998</v>
      </c>
      <c r="S472" s="9">
        <f t="shared" ref="S472:S475" si="1051">100*L472/Q472</f>
        <v>0</v>
      </c>
      <c r="T472" s="9">
        <f t="shared" ref="T472:T475" si="1052">R472</f>
        <v>1.0399999999999998</v>
      </c>
      <c r="U472" s="9">
        <f t="shared" ref="U472:U475" si="1053">L472</f>
        <v>0</v>
      </c>
      <c r="V472" s="9">
        <f t="shared" ref="V472:V475" si="1054">T472*H472%</f>
        <v>1.0399999999999998</v>
      </c>
      <c r="W472" s="9">
        <f t="shared" ref="W472:W475" si="1055">T472*I472%</f>
        <v>0</v>
      </c>
      <c r="X472" s="9"/>
      <c r="Y472" s="9"/>
      <c r="Z472" s="9"/>
      <c r="AA472" s="9"/>
    </row>
    <row r="473" spans="1:27" x14ac:dyDescent="0.25">
      <c r="A473" s="82">
        <f>'NELIOTA (p&lt;0.5)'!A521</f>
        <v>44951</v>
      </c>
      <c r="B473" s="58" t="str">
        <f>'NELIOTA (p&lt;0.5)'!B521</f>
        <v>18:10-21:10</v>
      </c>
      <c r="C473" s="59">
        <f>'NELIOTA (p&lt;0.5)'!C521</f>
        <v>0.21</v>
      </c>
      <c r="D473" s="120">
        <f>'NELIOTA (p&lt;0.5)'!D521</f>
        <v>0</v>
      </c>
      <c r="E473" s="120" t="str">
        <f>'NELIOTA (p&lt;0.5)'!F521</f>
        <v>Cloudiness</v>
      </c>
      <c r="F473" s="58"/>
      <c r="G473" s="8">
        <f>'NELIOTA (p&lt;0.5)'!H521</f>
        <v>0</v>
      </c>
      <c r="H473" s="8">
        <f>'NELIOTA (p&lt;0.5)'!I521</f>
        <v>100</v>
      </c>
      <c r="I473" s="8">
        <f>'NELIOTA (p&lt;0.5)'!J521</f>
        <v>0</v>
      </c>
      <c r="J473" s="82"/>
      <c r="K473" s="102">
        <f>'NELIOTA (p&lt;0.5)'!M521</f>
        <v>0</v>
      </c>
      <c r="L473" s="93">
        <f t="shared" si="1047"/>
        <v>0</v>
      </c>
      <c r="N473" s="11">
        <v>3</v>
      </c>
      <c r="O473" s="11">
        <v>0</v>
      </c>
      <c r="P473" s="9">
        <f t="shared" si="1048"/>
        <v>3</v>
      </c>
      <c r="Q473" s="9">
        <f t="shared" si="1049"/>
        <v>1.8719999999999999</v>
      </c>
      <c r="R473" s="9">
        <f t="shared" si="1050"/>
        <v>1.8719999999999999</v>
      </c>
      <c r="S473" s="9">
        <f t="shared" si="1051"/>
        <v>0</v>
      </c>
      <c r="T473" s="9">
        <f t="shared" si="1052"/>
        <v>1.8719999999999999</v>
      </c>
      <c r="U473" s="9">
        <f t="shared" si="1053"/>
        <v>0</v>
      </c>
      <c r="V473" s="9">
        <f t="shared" si="1054"/>
        <v>1.8719999999999999</v>
      </c>
      <c r="W473" s="9">
        <f t="shared" si="1055"/>
        <v>0</v>
      </c>
      <c r="X473" s="9"/>
      <c r="Y473" s="9"/>
      <c r="Z473" s="9"/>
      <c r="AA473" s="9"/>
    </row>
    <row r="474" spans="1:27" x14ac:dyDescent="0.25">
      <c r="A474" s="82">
        <f>'NELIOTA (p&lt;0.5)'!A522</f>
        <v>44952</v>
      </c>
      <c r="B474" s="58" t="str">
        <f>'NELIOTA (p&lt;0.5)'!B522</f>
        <v>18:10-22:15</v>
      </c>
      <c r="C474" s="59">
        <f>'NELIOTA (p&lt;0.5)'!C522</f>
        <v>0.314</v>
      </c>
      <c r="D474" s="120">
        <f>'NELIOTA (p&lt;0.5)'!D522</f>
        <v>0</v>
      </c>
      <c r="E474" s="120" t="str">
        <f>'NELIOTA (p&lt;0.5)'!F522</f>
        <v>Cloudiness</v>
      </c>
      <c r="F474" s="58"/>
      <c r="G474" s="8">
        <f>'NELIOTA (p&lt;0.5)'!H522</f>
        <v>0</v>
      </c>
      <c r="H474" s="8">
        <f>'NELIOTA (p&lt;0.5)'!I522</f>
        <v>100</v>
      </c>
      <c r="I474" s="8">
        <f>'NELIOTA (p&lt;0.5)'!J522</f>
        <v>0</v>
      </c>
      <c r="J474" s="82"/>
      <c r="K474" s="102">
        <f>'NELIOTA (p&lt;0.5)'!M522</f>
        <v>0</v>
      </c>
      <c r="L474" s="93">
        <f t="shared" si="1047"/>
        <v>0</v>
      </c>
      <c r="N474" s="11">
        <v>4</v>
      </c>
      <c r="O474" s="11">
        <v>5</v>
      </c>
      <c r="P474" s="9">
        <f t="shared" si="1048"/>
        <v>4.083333333333333</v>
      </c>
      <c r="Q474" s="9">
        <f t="shared" si="1049"/>
        <v>2.5479999999999996</v>
      </c>
      <c r="R474" s="9">
        <f t="shared" si="1050"/>
        <v>2.5479999999999996</v>
      </c>
      <c r="S474" s="9">
        <f t="shared" si="1051"/>
        <v>0</v>
      </c>
      <c r="T474" s="9">
        <f t="shared" si="1052"/>
        <v>2.5479999999999996</v>
      </c>
      <c r="U474" s="9">
        <f t="shared" si="1053"/>
        <v>0</v>
      </c>
      <c r="V474" s="9">
        <f t="shared" si="1054"/>
        <v>2.5479999999999996</v>
      </c>
      <c r="W474" s="9">
        <f t="shared" si="1055"/>
        <v>0</v>
      </c>
      <c r="X474" s="9"/>
      <c r="Y474" s="9"/>
      <c r="Z474" s="9"/>
      <c r="AA474" s="9"/>
    </row>
    <row r="475" spans="1:27" x14ac:dyDescent="0.25">
      <c r="A475" s="82">
        <f>'NELIOTA (p&lt;0.5)'!A523</f>
        <v>44953</v>
      </c>
      <c r="B475" s="58" t="str">
        <f>'NELIOTA (p&lt;0.5)'!B523</f>
        <v>18:10-23:20</v>
      </c>
      <c r="C475" s="59">
        <f>'NELIOTA (p&lt;0.5)'!C523</f>
        <v>0.42299999999999999</v>
      </c>
      <c r="D475" s="120">
        <f>'NELIOTA (p&lt;0.5)'!D523</f>
        <v>0</v>
      </c>
      <c r="E475" s="120" t="str">
        <f>'NELIOTA (p&lt;0.5)'!F523</f>
        <v>Cloudiness</v>
      </c>
      <c r="F475" s="58"/>
      <c r="G475" s="8">
        <f>'NELIOTA (p&lt;0.5)'!H523</f>
        <v>0</v>
      </c>
      <c r="H475" s="8">
        <f>'NELIOTA (p&lt;0.5)'!I523</f>
        <v>100</v>
      </c>
      <c r="I475" s="8">
        <f>'NELIOTA (p&lt;0.5)'!J523</f>
        <v>0</v>
      </c>
      <c r="J475" s="82"/>
      <c r="K475" s="102">
        <f>'NELIOTA (p&lt;0.5)'!M523</f>
        <v>0</v>
      </c>
      <c r="L475" s="93">
        <f t="shared" si="1047"/>
        <v>0</v>
      </c>
      <c r="N475" s="11">
        <v>5</v>
      </c>
      <c r="O475" s="11">
        <v>10</v>
      </c>
      <c r="P475" s="9">
        <f t="shared" si="1048"/>
        <v>5.166666666666667</v>
      </c>
      <c r="Q475" s="9">
        <f t="shared" si="1049"/>
        <v>3.2240000000000002</v>
      </c>
      <c r="R475" s="9">
        <f t="shared" si="1050"/>
        <v>3.2240000000000002</v>
      </c>
      <c r="S475" s="9">
        <f t="shared" si="1051"/>
        <v>0</v>
      </c>
      <c r="T475" s="9">
        <f t="shared" si="1052"/>
        <v>3.2240000000000002</v>
      </c>
      <c r="U475" s="9">
        <f t="shared" si="1053"/>
        <v>0</v>
      </c>
      <c r="V475" s="9">
        <f t="shared" si="1054"/>
        <v>3.2240000000000002</v>
      </c>
      <c r="W475" s="9">
        <f t="shared" si="1055"/>
        <v>0</v>
      </c>
      <c r="X475" s="9">
        <f>SUM(U469:U475)</f>
        <v>2.170286388888889</v>
      </c>
      <c r="Y475" s="9">
        <f>100*X475/SUM(T469:T475)</f>
        <v>17.336928725446118</v>
      </c>
      <c r="Z475" s="9">
        <f>100*SUM(V469:V475)/SUM(T469:T475)</f>
        <v>82.663071274553886</v>
      </c>
      <c r="AA475" s="9">
        <f>100*SUM(W469:W475)/SUM(T469:T475)</f>
        <v>0</v>
      </c>
    </row>
    <row r="476" spans="1:27" s="48" customFormat="1" x14ac:dyDescent="0.25">
      <c r="A476" s="94">
        <f>'NELIOTA (p&lt;0.5)'!A525</f>
        <v>44972</v>
      </c>
      <c r="B476" s="62" t="str">
        <f>'NELIOTA (p&lt;0.5)'!B525</f>
        <v>05:45-06:55</v>
      </c>
      <c r="C476" s="63">
        <f>'NELIOTA (p&lt;0.5)'!C525</f>
        <v>0.33700000000000002</v>
      </c>
      <c r="D476" s="172">
        <f>'NELIOTA (p&lt;0.5)'!D525</f>
        <v>100</v>
      </c>
      <c r="E476" s="172" t="str">
        <f>'NELIOTA (p&lt;0.5)'!F525</f>
        <v>very good</v>
      </c>
      <c r="F476" s="62"/>
      <c r="G476" s="24">
        <f>'NELIOTA (p&lt;0.5)'!H525</f>
        <v>100</v>
      </c>
      <c r="H476" s="24">
        <f>'NELIOTA (p&lt;0.5)'!I525</f>
        <v>0</v>
      </c>
      <c r="I476" s="24">
        <f>'NELIOTA (p&lt;0.5)'!J525</f>
        <v>0</v>
      </c>
      <c r="J476" s="94"/>
      <c r="K476" s="100">
        <f>'NELIOTA (p&lt;0.5)'!M525</f>
        <v>2756.4349999999999</v>
      </c>
      <c r="L476" s="92">
        <f t="shared" ref="L476:L477" si="1056">K476/3600</f>
        <v>0.76567638888888889</v>
      </c>
      <c r="N476" s="47">
        <v>1</v>
      </c>
      <c r="O476" s="47">
        <v>10</v>
      </c>
      <c r="P476" s="33">
        <f t="shared" ref="P476:P477" si="1057">N476+O476/60</f>
        <v>1.1666666666666667</v>
      </c>
      <c r="Q476" s="33">
        <f>P476*65.6%</f>
        <v>0.76533333333333331</v>
      </c>
      <c r="R476" s="33">
        <f t="shared" ref="R476:R477" si="1058">IF(G476=100,L476,Q476)</f>
        <v>0.76567638888888889</v>
      </c>
      <c r="S476" s="33">
        <f t="shared" ref="S476:S477" si="1059">100*L476/Q476</f>
        <v>100.0448243321719</v>
      </c>
      <c r="T476" s="33">
        <f t="shared" ref="T476:T477" si="1060">R476</f>
        <v>0.76567638888888889</v>
      </c>
      <c r="U476" s="33">
        <f t="shared" ref="U476:U477" si="1061">L476</f>
        <v>0.76567638888888889</v>
      </c>
      <c r="V476" s="33">
        <f t="shared" ref="V476:V477" si="1062">T476*H476%</f>
        <v>0</v>
      </c>
      <c r="W476" s="33">
        <f t="shared" ref="W476:W477" si="1063">T476*I476%</f>
        <v>0</v>
      </c>
      <c r="X476" s="33"/>
      <c r="Y476" s="33"/>
      <c r="Z476" s="33"/>
      <c r="AA476" s="33"/>
    </row>
    <row r="477" spans="1:27" x14ac:dyDescent="0.25">
      <c r="A477" s="82">
        <f>'NELIOTA (p&lt;0.5)'!A526</f>
        <v>44979</v>
      </c>
      <c r="B477" s="58" t="str">
        <f>'NELIOTA (p&lt;0.5)'!B526</f>
        <v>18:40-19:50</v>
      </c>
      <c r="C477" s="59">
        <f>'NELIOTA (p&lt;0.5)'!C526</f>
        <v>8.4000000000000005E-2</v>
      </c>
      <c r="D477" s="120">
        <f>'NELIOTA (p&lt;0.5)'!D526</f>
        <v>100</v>
      </c>
      <c r="E477" s="120" t="str">
        <f>'NELIOTA (p&lt;0.5)'!F526</f>
        <v>very good</v>
      </c>
      <c r="F477" s="58"/>
      <c r="G477" s="8">
        <f>'NELIOTA (p&lt;0.5)'!H526</f>
        <v>100</v>
      </c>
      <c r="H477" s="8">
        <f>'NELIOTA (p&lt;0.5)'!I526</f>
        <v>0</v>
      </c>
      <c r="I477" s="8">
        <f>'NELIOTA (p&lt;0.5)'!J526</f>
        <v>0</v>
      </c>
      <c r="J477" s="82"/>
      <c r="K477" s="102">
        <f>'NELIOTA (p&lt;0.5)'!M526</f>
        <v>2941.01</v>
      </c>
      <c r="L477" s="93">
        <f t="shared" si="1056"/>
        <v>0.81694722222222227</v>
      </c>
      <c r="N477" s="11">
        <v>1</v>
      </c>
      <c r="O477" s="11">
        <v>10</v>
      </c>
      <c r="P477" s="9">
        <f t="shared" si="1057"/>
        <v>1.1666666666666667</v>
      </c>
      <c r="Q477" s="9">
        <f>P477*70%</f>
        <v>0.81666666666666665</v>
      </c>
      <c r="R477" s="9">
        <f t="shared" si="1058"/>
        <v>0.81694722222222227</v>
      </c>
      <c r="S477" s="9">
        <f t="shared" si="1059"/>
        <v>100.0343537414966</v>
      </c>
      <c r="T477" s="9">
        <f t="shared" si="1060"/>
        <v>0.81694722222222227</v>
      </c>
      <c r="U477" s="9">
        <f t="shared" si="1061"/>
        <v>0.81694722222222227</v>
      </c>
      <c r="V477" s="9">
        <f t="shared" si="1062"/>
        <v>0</v>
      </c>
      <c r="W477" s="9">
        <f t="shared" si="1063"/>
        <v>0</v>
      </c>
      <c r="X477" s="9"/>
      <c r="Y477" s="9"/>
      <c r="Z477" s="9"/>
      <c r="AA477" s="9"/>
    </row>
    <row r="478" spans="1:27" x14ac:dyDescent="0.25">
      <c r="A478" s="82">
        <f>'NELIOTA (p&lt;0.5)'!A527</f>
        <v>44980</v>
      </c>
      <c r="B478" s="58" t="str">
        <f>'NELIOTA (p&lt;0.5)'!B527</f>
        <v>18:40-21:00</v>
      </c>
      <c r="C478" s="59">
        <f>'NELIOTA (p&lt;0.5)'!C527</f>
        <v>0.16200000000000001</v>
      </c>
      <c r="D478" s="120">
        <f>'NELIOTA (p&lt;0.5)'!D527</f>
        <v>0</v>
      </c>
      <c r="E478" s="120" t="str">
        <f>'NELIOTA (p&lt;0.5)'!F527</f>
        <v>Cloudiness</v>
      </c>
      <c r="F478" s="58"/>
      <c r="G478" s="8">
        <f>'NELIOTA (p&lt;0.5)'!H527</f>
        <v>0</v>
      </c>
      <c r="H478" s="8">
        <f>'NELIOTA (p&lt;0.5)'!I527</f>
        <v>100</v>
      </c>
      <c r="I478" s="8">
        <f>'NELIOTA (p&lt;0.5)'!J527</f>
        <v>0</v>
      </c>
      <c r="J478" s="82"/>
      <c r="K478" s="102">
        <f>'NELIOTA (p&lt;0.5)'!M527</f>
        <v>0</v>
      </c>
      <c r="L478" s="93">
        <f t="shared" ref="L478:L480" si="1064">K478/3600</f>
        <v>0</v>
      </c>
      <c r="N478" s="11">
        <v>2</v>
      </c>
      <c r="O478" s="11">
        <v>20</v>
      </c>
      <c r="P478" s="9">
        <f t="shared" ref="P478:P480" si="1065">N478+O478/60</f>
        <v>2.3333333333333335</v>
      </c>
      <c r="Q478" s="9">
        <f t="shared" ref="Q478:Q480" si="1066">P478*62.4%</f>
        <v>1.4560000000000002</v>
      </c>
      <c r="R478" s="9">
        <f t="shared" ref="R478:R480" si="1067">IF(G478=100,L478,Q478)</f>
        <v>1.4560000000000002</v>
      </c>
      <c r="S478" s="9">
        <f t="shared" ref="S478:S480" si="1068">100*L478/Q478</f>
        <v>0</v>
      </c>
      <c r="T478" s="9">
        <f t="shared" ref="T478:T480" si="1069">R478</f>
        <v>1.4560000000000002</v>
      </c>
      <c r="U478" s="9">
        <f t="shared" ref="U478:U480" si="1070">L478</f>
        <v>0</v>
      </c>
      <c r="V478" s="9">
        <f t="shared" ref="V478:V480" si="1071">T478*H478%</f>
        <v>1.4560000000000002</v>
      </c>
      <c r="W478" s="9">
        <f t="shared" ref="W478:W480" si="1072">T478*I478%</f>
        <v>0</v>
      </c>
      <c r="X478" s="9"/>
      <c r="Y478" s="9"/>
      <c r="Z478" s="9"/>
      <c r="AA478" s="9"/>
    </row>
    <row r="479" spans="1:27" x14ac:dyDescent="0.25">
      <c r="A479" s="82">
        <f>'NELIOTA (p&lt;0.5)'!A528</f>
        <v>44981</v>
      </c>
      <c r="B479" s="58" t="str">
        <f>'NELIOTA (p&lt;0.5)'!B528</f>
        <v>18:40-22:10</v>
      </c>
      <c r="C479" s="59">
        <f>'NELIOTA (p&lt;0.5)'!C528</f>
        <v>0.25600000000000001</v>
      </c>
      <c r="D479" s="120">
        <f>'NELIOTA (p&lt;0.5)'!D528</f>
        <v>74</v>
      </c>
      <c r="E479" s="120" t="str">
        <f>'NELIOTA (p&lt;0.5)'!F528</f>
        <v>very good</v>
      </c>
      <c r="F479" s="58"/>
      <c r="G479" s="8">
        <f>'NELIOTA (p&lt;0.5)'!H528</f>
        <v>74</v>
      </c>
      <c r="H479" s="8">
        <f>'NELIOTA (p&lt;0.5)'!I528</f>
        <v>26</v>
      </c>
      <c r="I479" s="8">
        <f>'NELIOTA (p&lt;0.5)'!J528</f>
        <v>0</v>
      </c>
      <c r="J479" s="82"/>
      <c r="K479" s="102">
        <f>'NELIOTA (p&lt;0.5)'!M528</f>
        <v>6724.625</v>
      </c>
      <c r="L479" s="93">
        <f t="shared" si="1064"/>
        <v>1.8679513888888888</v>
      </c>
      <c r="N479" s="11">
        <v>3</v>
      </c>
      <c r="O479" s="11">
        <v>30</v>
      </c>
      <c r="P479" s="9">
        <f t="shared" si="1065"/>
        <v>3.5</v>
      </c>
      <c r="Q479" s="9">
        <f>P479*72.1%</f>
        <v>2.5234999999999999</v>
      </c>
      <c r="R479" s="9">
        <f t="shared" si="1067"/>
        <v>2.5234999999999999</v>
      </c>
      <c r="S479" s="9">
        <f t="shared" si="1068"/>
        <v>74.022246439028692</v>
      </c>
      <c r="T479" s="9">
        <f t="shared" si="1069"/>
        <v>2.5234999999999999</v>
      </c>
      <c r="U479" s="9">
        <f t="shared" si="1070"/>
        <v>1.8679513888888888</v>
      </c>
      <c r="V479" s="9">
        <f t="shared" si="1071"/>
        <v>0.65610999999999997</v>
      </c>
      <c r="W479" s="9">
        <f t="shared" si="1072"/>
        <v>0</v>
      </c>
      <c r="X479" s="9"/>
      <c r="Y479" s="9"/>
      <c r="Z479" s="9"/>
      <c r="AA479" s="9"/>
    </row>
    <row r="480" spans="1:27" x14ac:dyDescent="0.25">
      <c r="A480" s="82">
        <f>'NELIOTA (p&lt;0.5)'!A529</f>
        <v>44982</v>
      </c>
      <c r="B480" s="58" t="str">
        <f>'NELIOTA (p&lt;0.5)'!B529</f>
        <v>18:40-23:15</v>
      </c>
      <c r="C480" s="59">
        <f>'NELIOTA (p&lt;0.5)'!C529</f>
        <v>0.35699999999999998</v>
      </c>
      <c r="D480" s="120">
        <f>'NELIOTA (p&lt;0.5)'!D529</f>
        <v>0</v>
      </c>
      <c r="E480" s="120" t="str">
        <f>'NELIOTA (p&lt;0.5)'!F529</f>
        <v>Cloudiness</v>
      </c>
      <c r="F480" s="58"/>
      <c r="G480" s="8">
        <f>'NELIOTA (p&lt;0.5)'!H529</f>
        <v>0</v>
      </c>
      <c r="H480" s="8">
        <f>'NELIOTA (p&lt;0.5)'!I529</f>
        <v>100</v>
      </c>
      <c r="I480" s="8">
        <f>'NELIOTA (p&lt;0.5)'!J529</f>
        <v>0</v>
      </c>
      <c r="J480" s="82"/>
      <c r="K480" s="102">
        <f>'NELIOTA (p&lt;0.5)'!M529</f>
        <v>0</v>
      </c>
      <c r="L480" s="93">
        <f t="shared" si="1064"/>
        <v>0</v>
      </c>
      <c r="N480" s="11">
        <v>4</v>
      </c>
      <c r="O480" s="11">
        <v>35</v>
      </c>
      <c r="P480" s="9">
        <f t="shared" si="1065"/>
        <v>4.583333333333333</v>
      </c>
      <c r="Q480" s="9">
        <f t="shared" si="1066"/>
        <v>2.86</v>
      </c>
      <c r="R480" s="9">
        <f t="shared" si="1067"/>
        <v>2.86</v>
      </c>
      <c r="S480" s="9">
        <f t="shared" si="1068"/>
        <v>0</v>
      </c>
      <c r="T480" s="9">
        <f t="shared" si="1069"/>
        <v>2.86</v>
      </c>
      <c r="U480" s="9">
        <f t="shared" si="1070"/>
        <v>0</v>
      </c>
      <c r="V480" s="9">
        <f t="shared" si="1071"/>
        <v>2.86</v>
      </c>
      <c r="W480" s="9">
        <f t="shared" si="1072"/>
        <v>0</v>
      </c>
      <c r="X480" s="9">
        <f>SUM(U476:U480)</f>
        <v>3.4505749999999997</v>
      </c>
      <c r="Y480" s="9">
        <f>100*X480/SUM(T476:T480)</f>
        <v>40.970367562021252</v>
      </c>
      <c r="Z480" s="9">
        <f>100*SUM(V476:V480)/SUM(T476:T480)</f>
        <v>59.036298083305404</v>
      </c>
      <c r="AA480" s="9">
        <f>100*SUM(W476:W480)/SUM(T476:T480)</f>
        <v>0</v>
      </c>
    </row>
    <row r="481" spans="1:27" s="48" customFormat="1" x14ac:dyDescent="0.25">
      <c r="A481" s="94">
        <f>'NELIOTA (p&lt;0.5)'!A532</f>
        <v>45009</v>
      </c>
      <c r="B481" s="62" t="str">
        <f>'NELIOTA (p&lt;0.5)'!B532</f>
        <v>19:10-20:55</v>
      </c>
      <c r="C481" s="63">
        <f>'NELIOTA (p&lt;0.5)'!C532</f>
        <v>0.11700000000000001</v>
      </c>
      <c r="D481" s="172">
        <f>'NELIOTA (p&lt;0.5)'!D532</f>
        <v>100</v>
      </c>
      <c r="E481" s="172" t="str">
        <f>'NELIOTA (p&lt;0.5)'!F532</f>
        <v>good</v>
      </c>
      <c r="F481" s="62"/>
      <c r="G481" s="24">
        <f>'NELIOTA (p&lt;0.5)'!H532</f>
        <v>100</v>
      </c>
      <c r="H481" s="24">
        <f>'NELIOTA (p&lt;0.5)'!I532</f>
        <v>0</v>
      </c>
      <c r="I481" s="24">
        <f>'NELIOTA (p&lt;0.5)'!J532</f>
        <v>0</v>
      </c>
      <c r="J481" s="94"/>
      <c r="K481" s="100">
        <f>'NELIOTA (p&lt;0.5)'!M532</f>
        <v>3929.136</v>
      </c>
      <c r="L481" s="92">
        <f t="shared" ref="L481" si="1073">K481/3600</f>
        <v>1.0914266666666668</v>
      </c>
      <c r="N481" s="47">
        <v>1</v>
      </c>
      <c r="O481" s="47">
        <v>45</v>
      </c>
      <c r="P481" s="33">
        <f t="shared" ref="P481" si="1074">N481+O481/60</f>
        <v>1.75</v>
      </c>
      <c r="Q481" s="33">
        <f>P481*62.35%</f>
        <v>1.0911250000000001</v>
      </c>
      <c r="R481" s="33">
        <f t="shared" ref="R481" si="1075">IF(G481=100,L481,Q481)</f>
        <v>1.0914266666666668</v>
      </c>
      <c r="S481" s="33">
        <f t="shared" ref="S481" si="1076">100*L481/Q481</f>
        <v>100.02764730591514</v>
      </c>
      <c r="T481" s="33">
        <f t="shared" ref="T481" si="1077">R481</f>
        <v>1.0914266666666668</v>
      </c>
      <c r="U481" s="33">
        <f t="shared" ref="U481" si="1078">L481</f>
        <v>1.0914266666666668</v>
      </c>
      <c r="V481" s="33">
        <f t="shared" ref="V481" si="1079">T481*H481%</f>
        <v>0</v>
      </c>
      <c r="W481" s="33">
        <f t="shared" ref="W481" si="1080">T481*I481%</f>
        <v>0</v>
      </c>
      <c r="X481" s="33"/>
      <c r="Y481" s="33"/>
      <c r="Z481" s="33"/>
      <c r="AA481" s="33"/>
    </row>
    <row r="482" spans="1:27" x14ac:dyDescent="0.25">
      <c r="A482" s="82">
        <f>'NELIOTA (p&lt;0.5)'!A533</f>
        <v>45010</v>
      </c>
      <c r="B482" s="58" t="str">
        <f>'NELIOTA (p&lt;0.5)'!B533</f>
        <v>19:10-22:00</v>
      </c>
      <c r="C482" s="59">
        <f>'NELIOTA (p&lt;0.5)'!C533</f>
        <v>0.19800000000000001</v>
      </c>
      <c r="D482" s="120">
        <f>'NELIOTA (p&lt;0.5)'!D533</f>
        <v>0</v>
      </c>
      <c r="E482" s="120" t="str">
        <f>'NELIOTA (p&lt;0.5)'!F533</f>
        <v>Cloudiness</v>
      </c>
      <c r="F482" s="58"/>
      <c r="G482" s="8">
        <f>'NELIOTA (p&lt;0.5)'!H533</f>
        <v>0</v>
      </c>
      <c r="H482" s="8">
        <f>'NELIOTA (p&lt;0.5)'!I533</f>
        <v>100</v>
      </c>
      <c r="I482" s="8">
        <f>'NELIOTA (p&lt;0.5)'!J533</f>
        <v>0</v>
      </c>
      <c r="J482" s="82"/>
      <c r="K482" s="102">
        <f>'NELIOTA (p&lt;0.5)'!M533</f>
        <v>0</v>
      </c>
      <c r="L482" s="93">
        <f t="shared" ref="L482:L484" si="1081">K482/3600</f>
        <v>0</v>
      </c>
      <c r="N482" s="11">
        <v>2</v>
      </c>
      <c r="O482" s="11">
        <v>50</v>
      </c>
      <c r="P482" s="9">
        <f t="shared" ref="P482:P484" si="1082">N482+O482/60</f>
        <v>2.8333333333333335</v>
      </c>
      <c r="Q482" s="9">
        <f t="shared" ref="Q482" si="1083">P482*62.4%</f>
        <v>1.768</v>
      </c>
      <c r="R482" s="9">
        <f t="shared" ref="R482:R484" si="1084">IF(G482=100,L482,Q482)</f>
        <v>1.768</v>
      </c>
      <c r="S482" s="9">
        <f t="shared" ref="S482:S484" si="1085">100*L482/Q482</f>
        <v>0</v>
      </c>
      <c r="T482" s="9">
        <f t="shared" ref="T482:T484" si="1086">R482</f>
        <v>1.768</v>
      </c>
      <c r="U482" s="9">
        <f t="shared" ref="U482:U484" si="1087">L482</f>
        <v>0</v>
      </c>
      <c r="V482" s="9">
        <f t="shared" ref="V482:V484" si="1088">T482*H482%</f>
        <v>1.768</v>
      </c>
      <c r="W482" s="9">
        <f t="shared" ref="W482:W484" si="1089">T482*I482%</f>
        <v>0</v>
      </c>
      <c r="X482" s="9"/>
      <c r="Y482" s="9"/>
      <c r="Z482" s="9"/>
      <c r="AA482" s="9"/>
    </row>
    <row r="483" spans="1:27" x14ac:dyDescent="0.25">
      <c r="A483" s="82">
        <f>'NELIOTA (p&lt;0.5)'!A534</f>
        <v>45011</v>
      </c>
      <c r="B483" s="58" t="str">
        <f>'NELIOTA (p&lt;0.5)'!B534</f>
        <v>20:10-00:10</v>
      </c>
      <c r="C483" s="59">
        <f>'NELIOTA (p&lt;0.5)'!C534</f>
        <v>0.28999999999999998</v>
      </c>
      <c r="D483" s="120">
        <f>'NELIOTA (p&lt;0.5)'!D534</f>
        <v>100</v>
      </c>
      <c r="E483" s="120" t="str">
        <f>'NELIOTA (p&lt;0.5)'!F534</f>
        <v>very good</v>
      </c>
      <c r="F483" s="58"/>
      <c r="G483" s="8">
        <f>'NELIOTA (p&lt;0.5)'!H534</f>
        <v>100</v>
      </c>
      <c r="H483" s="8">
        <f>'NELIOTA (p&lt;0.5)'!I534</f>
        <v>0</v>
      </c>
      <c r="I483" s="8">
        <f>'NELIOTA (p&lt;0.5)'!J534</f>
        <v>0</v>
      </c>
      <c r="J483" s="82"/>
      <c r="K483" s="102">
        <f>'NELIOTA (p&lt;0.5)'!M534</f>
        <v>8345.6880000000001</v>
      </c>
      <c r="L483" s="93">
        <f t="shared" si="1081"/>
        <v>2.3182466666666666</v>
      </c>
      <c r="N483" s="11">
        <v>4</v>
      </c>
      <c r="O483" s="11">
        <v>0</v>
      </c>
      <c r="P483" s="9">
        <f t="shared" si="1082"/>
        <v>4</v>
      </c>
      <c r="Q483" s="9">
        <f>P483*57.95%</f>
        <v>2.3180000000000001</v>
      </c>
      <c r="R483" s="9">
        <f t="shared" si="1084"/>
        <v>2.3182466666666666</v>
      </c>
      <c r="S483" s="9">
        <f t="shared" si="1085"/>
        <v>100.01064135749208</v>
      </c>
      <c r="T483" s="9">
        <f t="shared" si="1086"/>
        <v>2.3182466666666666</v>
      </c>
      <c r="U483" s="9">
        <f t="shared" si="1087"/>
        <v>2.3182466666666666</v>
      </c>
      <c r="V483" s="9">
        <f t="shared" si="1088"/>
        <v>0</v>
      </c>
      <c r="W483" s="9">
        <f t="shared" si="1089"/>
        <v>0</v>
      </c>
      <c r="X483" s="9"/>
      <c r="Y483" s="9"/>
      <c r="Z483" s="9"/>
      <c r="AA483" s="9"/>
    </row>
    <row r="484" spans="1:27" x14ac:dyDescent="0.25">
      <c r="A484" s="82">
        <f>'NELIOTA (p&lt;0.5)'!A535</f>
        <v>45012</v>
      </c>
      <c r="B484" s="58" t="str">
        <f>'NELIOTA (p&lt;0.5)'!B535</f>
        <v>20:10-01:10</v>
      </c>
      <c r="C484" s="59">
        <f>'NELIOTA (p&lt;0.5)'!C535</f>
        <v>0.38800000000000001</v>
      </c>
      <c r="D484" s="120">
        <f>'NELIOTA (p&lt;0.5)'!D535</f>
        <v>39</v>
      </c>
      <c r="E484" s="120" t="str">
        <f>'NELIOTA (p&lt;0.5)'!F535</f>
        <v>moderate</v>
      </c>
      <c r="F484" s="58"/>
      <c r="G484" s="8">
        <f>'NELIOTA (p&lt;0.5)'!H535</f>
        <v>39</v>
      </c>
      <c r="H484" s="8">
        <f>'NELIOTA (p&lt;0.5)'!I535</f>
        <v>61</v>
      </c>
      <c r="I484" s="8">
        <f>'NELIOTA (p&lt;0.5)'!J535</f>
        <v>0</v>
      </c>
      <c r="J484" s="82"/>
      <c r="K484" s="102">
        <f>'NELIOTA (p&lt;0.5)'!M535</f>
        <v>5066.4170000000004</v>
      </c>
      <c r="L484" s="93">
        <f t="shared" si="1081"/>
        <v>1.4073380555555557</v>
      </c>
      <c r="N484" s="11">
        <v>5</v>
      </c>
      <c r="O484" s="11">
        <v>0</v>
      </c>
      <c r="P484" s="9">
        <f t="shared" si="1082"/>
        <v>5</v>
      </c>
      <c r="Q484" s="9">
        <f>P484*72.2%</f>
        <v>3.61</v>
      </c>
      <c r="R484" s="9">
        <f t="shared" si="1084"/>
        <v>3.61</v>
      </c>
      <c r="S484" s="9">
        <f t="shared" si="1085"/>
        <v>38.984433671899048</v>
      </c>
      <c r="T484" s="9">
        <f t="shared" si="1086"/>
        <v>3.61</v>
      </c>
      <c r="U484" s="9">
        <f t="shared" si="1087"/>
        <v>1.4073380555555557</v>
      </c>
      <c r="V484" s="9">
        <f t="shared" si="1088"/>
        <v>2.2020999999999997</v>
      </c>
      <c r="W484" s="9">
        <f t="shared" si="1089"/>
        <v>0</v>
      </c>
      <c r="X484" s="9">
        <f>SUM(U481:U484)</f>
        <v>4.817011388888889</v>
      </c>
      <c r="Y484" s="9">
        <f>100*X484/SUM(T481:T484)</f>
        <v>54.815549078469267</v>
      </c>
      <c r="Z484" s="9">
        <f>100*SUM(V481:V484)/SUM(T481:T484)</f>
        <v>45.17805623179742</v>
      </c>
      <c r="AA484" s="9">
        <f>100*SUM(W481:W484)/SUM(T481:T484)</f>
        <v>0</v>
      </c>
    </row>
    <row r="485" spans="1:27" s="48" customFormat="1" x14ac:dyDescent="0.25">
      <c r="A485" s="94">
        <f>'NELIOTA (p&lt;0.5)'!A537</f>
        <v>45038</v>
      </c>
      <c r="B485" s="62" t="str">
        <f>'NELIOTA (p&lt;0.5)'!B537</f>
        <v>20:35-21:50</v>
      </c>
      <c r="C485" s="63">
        <f>'NELIOTA (p&lt;0.5)'!C537</f>
        <v>7.8E-2</v>
      </c>
      <c r="D485" s="172">
        <f>'NELIOTA (p&lt;0.5)'!D537</f>
        <v>0</v>
      </c>
      <c r="E485" s="172" t="str">
        <f>'NELIOTA (p&lt;0.5)'!F537</f>
        <v>Cloudiness</v>
      </c>
      <c r="F485" s="62"/>
      <c r="G485" s="24">
        <f>'NELIOTA (p&lt;0.5)'!H537</f>
        <v>0</v>
      </c>
      <c r="H485" s="24">
        <f>'NELIOTA (p&lt;0.5)'!I537</f>
        <v>100</v>
      </c>
      <c r="I485" s="24">
        <f>'NELIOTA (p&lt;0.5)'!J537</f>
        <v>0</v>
      </c>
      <c r="J485" s="94"/>
      <c r="K485" s="100">
        <f>'NELIOTA (p&lt;0.5)'!M537</f>
        <v>0</v>
      </c>
      <c r="L485" s="92">
        <f t="shared" ref="L485" si="1090">K485/3600</f>
        <v>0</v>
      </c>
      <c r="N485" s="47">
        <v>1</v>
      </c>
      <c r="O485" s="47">
        <v>15</v>
      </c>
      <c r="P485" s="33">
        <f t="shared" ref="P485" si="1091">N485+O485/60</f>
        <v>1.25</v>
      </c>
      <c r="Q485" s="33">
        <f t="shared" ref="Q485" si="1092">P485*62.4%</f>
        <v>0.78</v>
      </c>
      <c r="R485" s="33">
        <f t="shared" ref="R485" si="1093">IF(G485=100,L485,Q485)</f>
        <v>0.78</v>
      </c>
      <c r="S485" s="33">
        <f t="shared" ref="S485" si="1094">100*L485/Q485</f>
        <v>0</v>
      </c>
      <c r="T485" s="33">
        <f t="shared" ref="T485" si="1095">R485</f>
        <v>0.78</v>
      </c>
      <c r="U485" s="33">
        <f t="shared" ref="U485" si="1096">L485</f>
        <v>0</v>
      </c>
      <c r="V485" s="33">
        <f t="shared" ref="V485" si="1097">T485*H485%</f>
        <v>0.78</v>
      </c>
      <c r="W485" s="33">
        <f t="shared" ref="W485" si="1098">T485*I485%</f>
        <v>0</v>
      </c>
      <c r="X485" s="33"/>
      <c r="Y485" s="33"/>
      <c r="Z485" s="33"/>
      <c r="AA485" s="33"/>
    </row>
    <row r="486" spans="1:27" x14ac:dyDescent="0.25">
      <c r="A486" s="82">
        <f>'NELIOTA (p&lt;0.5)'!A538</f>
        <v>45039</v>
      </c>
      <c r="B486" s="58" t="str">
        <f>'NELIOTA (p&lt;0.5)'!B538</f>
        <v>20:35-22:55</v>
      </c>
      <c r="C486" s="59">
        <f>'NELIOTA (p&lt;0.5)'!C538</f>
        <v>0.14599999999999999</v>
      </c>
      <c r="D486" s="120">
        <f>'NELIOTA (p&lt;0.5)'!D538</f>
        <v>100</v>
      </c>
      <c r="E486" s="120" t="str">
        <f>'NELIOTA (p&lt;0.5)'!F538</f>
        <v>very good</v>
      </c>
      <c r="F486" s="58"/>
      <c r="G486" s="8">
        <f>'NELIOTA (p&lt;0.5)'!H538</f>
        <v>100</v>
      </c>
      <c r="H486" s="8">
        <f>'NELIOTA (p&lt;0.5)'!I538</f>
        <v>0</v>
      </c>
      <c r="I486" s="8">
        <f>'NELIOTA (p&lt;0.5)'!J538</f>
        <v>0</v>
      </c>
      <c r="J486" s="82"/>
      <c r="K486" s="102">
        <f>'NELIOTA (p&lt;0.5)'!M538</f>
        <v>4949.692</v>
      </c>
      <c r="L486" s="93">
        <f t="shared" ref="L486:L487" si="1099">K486/3600</f>
        <v>1.3749144444444446</v>
      </c>
      <c r="N486" s="11">
        <v>2</v>
      </c>
      <c r="O486" s="11">
        <v>30</v>
      </c>
      <c r="P486" s="9">
        <f t="shared" ref="P486:P487" si="1100">N486+O486/60</f>
        <v>2.5</v>
      </c>
      <c r="Q486" s="9">
        <f>P486*55%</f>
        <v>1.375</v>
      </c>
      <c r="R486" s="9">
        <f t="shared" ref="R486:R487" si="1101">IF(G486=100,L486,Q486)</f>
        <v>1.3749144444444446</v>
      </c>
      <c r="S486" s="9">
        <f t="shared" ref="S486:S487" si="1102">100*L486/Q486</f>
        <v>99.99377777777778</v>
      </c>
      <c r="T486" s="9">
        <f t="shared" ref="T486:T487" si="1103">R486</f>
        <v>1.3749144444444446</v>
      </c>
      <c r="U486" s="9">
        <f t="shared" ref="U486:U487" si="1104">L486</f>
        <v>1.3749144444444446</v>
      </c>
      <c r="V486" s="9">
        <f t="shared" ref="V486:V487" si="1105">T486*H486%</f>
        <v>0</v>
      </c>
      <c r="W486" s="9">
        <f t="shared" ref="W486:W487" si="1106">T486*I486%</f>
        <v>0</v>
      </c>
      <c r="X486" s="9"/>
      <c r="Y486" s="9"/>
      <c r="Z486" s="9"/>
      <c r="AA486" s="9"/>
    </row>
    <row r="487" spans="1:27" x14ac:dyDescent="0.25">
      <c r="A487" s="82">
        <f>'NELIOTA (p&lt;0.5)'!A539</f>
        <v>45040</v>
      </c>
      <c r="B487" s="58" t="str">
        <f>'NELIOTA (p&lt;0.5)'!B539</f>
        <v>20:35-23:50</v>
      </c>
      <c r="C487" s="59">
        <f>'NELIOTA (p&lt;0.5)'!C539</f>
        <v>0.22600000000000001</v>
      </c>
      <c r="D487" s="120">
        <f>'NELIOTA (p&lt;0.5)'!D539</f>
        <v>71.5</v>
      </c>
      <c r="E487" s="120" t="str">
        <f>'NELIOTA (p&lt;0.5)'!F539</f>
        <v>good</v>
      </c>
      <c r="F487" s="58"/>
      <c r="G487" s="8">
        <f>'NELIOTA (p&lt;0.5)'!H539</f>
        <v>72</v>
      </c>
      <c r="H487" s="8">
        <f>'NELIOTA (p&lt;0.5)'!I539</f>
        <v>28</v>
      </c>
      <c r="I487" s="8">
        <f>'NELIOTA (p&lt;0.5)'!J539</f>
        <v>0</v>
      </c>
      <c r="J487" s="82"/>
      <c r="K487" s="102">
        <f>'NELIOTA (p&lt;0.5)'!M539</f>
        <v>6066.549</v>
      </c>
      <c r="L487" s="93">
        <f t="shared" si="1099"/>
        <v>1.6851525000000001</v>
      </c>
      <c r="N487" s="11">
        <v>3</v>
      </c>
      <c r="O487" s="11">
        <v>15</v>
      </c>
      <c r="P487" s="9">
        <f t="shared" si="1100"/>
        <v>3.25</v>
      </c>
      <c r="Q487" s="9">
        <f>P487*72%</f>
        <v>2.34</v>
      </c>
      <c r="R487" s="9">
        <f t="shared" si="1101"/>
        <v>2.34</v>
      </c>
      <c r="S487" s="9">
        <f t="shared" si="1102"/>
        <v>72.015064102564111</v>
      </c>
      <c r="T487" s="9">
        <f t="shared" si="1103"/>
        <v>2.34</v>
      </c>
      <c r="U487" s="9">
        <f t="shared" si="1104"/>
        <v>1.6851525000000001</v>
      </c>
      <c r="V487" s="9">
        <f t="shared" si="1105"/>
        <v>0.6552</v>
      </c>
      <c r="W487" s="9">
        <f t="shared" si="1106"/>
        <v>0</v>
      </c>
      <c r="X487" s="9"/>
      <c r="Y487" s="9"/>
      <c r="Z487" s="9"/>
      <c r="AA487" s="9"/>
    </row>
    <row r="488" spans="1:27" x14ac:dyDescent="0.25">
      <c r="A488" s="82">
        <f>'NELIOTA (p&lt;0.5)'!A540</f>
        <v>45041</v>
      </c>
      <c r="B488" s="58" t="str">
        <f>'NELIOTA (p&lt;0.5)'!B540</f>
        <v>20:35-00:50</v>
      </c>
      <c r="C488" s="59">
        <f>'NELIOTA (p&lt;0.5)'!C540</f>
        <v>0.316</v>
      </c>
      <c r="D488" s="120">
        <f>'NELIOTA (p&lt;0.5)'!D540</f>
        <v>21</v>
      </c>
      <c r="E488" s="120" t="str">
        <f>'NELIOTA (p&lt;0.5)'!F540</f>
        <v>moderate</v>
      </c>
      <c r="F488" s="58"/>
      <c r="G488" s="8">
        <f>'NELIOTA (p&lt;0.5)'!H540</f>
        <v>21</v>
      </c>
      <c r="H488" s="8">
        <f>'NELIOTA (p&lt;0.5)'!I540</f>
        <v>79</v>
      </c>
      <c r="I488" s="8">
        <f>'NELIOTA (p&lt;0.5)'!J540</f>
        <v>0</v>
      </c>
      <c r="J488" s="82"/>
      <c r="K488" s="102">
        <f>'NELIOTA (p&lt;0.5)'!M540</f>
        <v>2353.59</v>
      </c>
      <c r="L488" s="93">
        <f t="shared" ref="L488" si="1107">K488/3600</f>
        <v>0.653775</v>
      </c>
      <c r="N488" s="11">
        <v>4</v>
      </c>
      <c r="O488" s="11">
        <v>15</v>
      </c>
      <c r="P488" s="9">
        <f t="shared" ref="P488" si="1108">N488+O488/60</f>
        <v>4.25</v>
      </c>
      <c r="Q488" s="9">
        <f>P488*73.3%</f>
        <v>3.1152500000000001</v>
      </c>
      <c r="R488" s="9">
        <f t="shared" ref="R488" si="1109">IF(G488=100,L488,Q488)</f>
        <v>3.1152500000000001</v>
      </c>
      <c r="S488" s="9">
        <f t="shared" ref="S488" si="1110">100*L488/Q488</f>
        <v>20.986277184816625</v>
      </c>
      <c r="T488" s="9">
        <f t="shared" ref="T488" si="1111">R488</f>
        <v>3.1152500000000001</v>
      </c>
      <c r="U488" s="9">
        <f t="shared" ref="U488" si="1112">L488</f>
        <v>0.653775</v>
      </c>
      <c r="V488" s="9">
        <f t="shared" ref="V488" si="1113">T488*H488%</f>
        <v>2.4610475000000003</v>
      </c>
      <c r="W488" s="9">
        <f t="shared" ref="W488" si="1114">T488*I488%</f>
        <v>0</v>
      </c>
      <c r="X488" s="9"/>
      <c r="Y488" s="9"/>
      <c r="Z488" s="9"/>
      <c r="AA488" s="9"/>
    </row>
    <row r="489" spans="1:27" x14ac:dyDescent="0.25">
      <c r="A489" s="82">
        <f>'NELIOTA (p&lt;0.5)'!A541</f>
        <v>45042</v>
      </c>
      <c r="B489" s="58" t="str">
        <f>'NELIOTA (p&lt;0.5)'!B541</f>
        <v>20:35-01:30</v>
      </c>
      <c r="C489" s="59">
        <f>'NELIOTA (p&lt;0.5)'!C541</f>
        <v>0.41099999999999998</v>
      </c>
      <c r="D489" s="120">
        <f>'NELIOTA (p&lt;0.5)'!D541</f>
        <v>44</v>
      </c>
      <c r="E489" s="120" t="str">
        <f>'NELIOTA (p&lt;0.5)'!F541</f>
        <v>moderate</v>
      </c>
      <c r="F489" s="58"/>
      <c r="G489" s="8">
        <f>'NELIOTA (p&lt;0.5)'!H541</f>
        <v>44</v>
      </c>
      <c r="H489" s="8">
        <f>'NELIOTA (p&lt;0.5)'!I541</f>
        <v>56</v>
      </c>
      <c r="I489" s="8">
        <f>'NELIOTA (p&lt;0.5)'!J541</f>
        <v>0</v>
      </c>
      <c r="J489" s="82"/>
      <c r="K489" s="102">
        <f>'NELIOTA (p&lt;0.5)'!M541</f>
        <v>5661</v>
      </c>
      <c r="L489" s="93">
        <f t="shared" ref="L489" si="1115">K489/3600</f>
        <v>1.5725</v>
      </c>
      <c r="N489" s="11">
        <v>4</v>
      </c>
      <c r="O489" s="11">
        <v>55</v>
      </c>
      <c r="P489" s="9">
        <f t="shared" ref="P489" si="1116">N489+O489/60</f>
        <v>4.916666666666667</v>
      </c>
      <c r="Q489" s="9">
        <f>P489*72.7%</f>
        <v>3.5744166666666666</v>
      </c>
      <c r="R489" s="9">
        <f t="shared" ref="R489" si="1117">IF(G489=100,L489,Q489)</f>
        <v>3.5744166666666666</v>
      </c>
      <c r="S489" s="9">
        <f t="shared" ref="S489" si="1118">100*L489/Q489</f>
        <v>43.993192362390133</v>
      </c>
      <c r="T489" s="9">
        <f t="shared" ref="T489" si="1119">R489</f>
        <v>3.5744166666666666</v>
      </c>
      <c r="U489" s="9">
        <f t="shared" ref="U489" si="1120">L489</f>
        <v>1.5725</v>
      </c>
      <c r="V489" s="9">
        <f t="shared" ref="V489" si="1121">T489*H489%</f>
        <v>2.0016733333333336</v>
      </c>
      <c r="W489" s="9">
        <f t="shared" ref="W489" si="1122">T489*I489%</f>
        <v>0</v>
      </c>
      <c r="X489" s="9">
        <f>SUM(U486:U489)</f>
        <v>5.2863419444444446</v>
      </c>
      <c r="Y489" s="9">
        <f>100*X489/SUM(T486:T489)</f>
        <v>50.807830589153951</v>
      </c>
      <c r="Z489" s="9">
        <f>100*SUM(V486:V489)/SUM(T486:T489)</f>
        <v>49.189109861115675</v>
      </c>
      <c r="AA489" s="9">
        <f>100*SUM(W486:W489)/SUM(T486:T489)</f>
        <v>0</v>
      </c>
    </row>
    <row r="490" spans="1:27" s="48" customFormat="1" x14ac:dyDescent="0.25">
      <c r="A490" s="94">
        <f>'NELIOTA (p&lt;0.5)'!A542</f>
        <v>45059</v>
      </c>
      <c r="B490" s="62" t="str">
        <f>'NELIOTA (p&lt;0.5)'!B542</f>
        <v>05:15-05:55</v>
      </c>
      <c r="C490" s="63">
        <f>'NELIOTA (p&lt;0.5)'!C542</f>
        <v>0.44600000000000001</v>
      </c>
      <c r="D490" s="172">
        <f>'NELIOTA (p&lt;0.5)'!D542</f>
        <v>0</v>
      </c>
      <c r="E490" s="172" t="str">
        <f>'NELIOTA (p&lt;0.5)'!F542</f>
        <v>Cloudiness</v>
      </c>
      <c r="F490" s="62"/>
      <c r="G490" s="24">
        <f>'NELIOTA (p&lt;0.5)'!H542</f>
        <v>0</v>
      </c>
      <c r="H490" s="24">
        <f>'NELIOTA (p&lt;0.5)'!I542</f>
        <v>100</v>
      </c>
      <c r="I490" s="24">
        <f>'NELIOTA (p&lt;0.5)'!J542</f>
        <v>0</v>
      </c>
      <c r="J490" s="94"/>
      <c r="K490" s="100">
        <f>'NELIOTA (p&lt;0.5)'!M542</f>
        <v>0</v>
      </c>
      <c r="L490" s="92">
        <f t="shared" ref="L490" si="1123">K490/3600</f>
        <v>0</v>
      </c>
      <c r="N490" s="47">
        <v>0</v>
      </c>
      <c r="O490" s="47">
        <v>40</v>
      </c>
      <c r="P490" s="33">
        <f t="shared" ref="P490" si="1124">N490+O490/60</f>
        <v>0.66666666666666663</v>
      </c>
      <c r="Q490" s="33">
        <f t="shared" ref="Q490" si="1125">P490*62.4%</f>
        <v>0.41599999999999998</v>
      </c>
      <c r="R490" s="33">
        <f t="shared" ref="R490" si="1126">IF(G490=100,L490,Q490)</f>
        <v>0.41599999999999998</v>
      </c>
      <c r="S490" s="33">
        <f t="shared" ref="S490" si="1127">100*L490/Q490</f>
        <v>0</v>
      </c>
      <c r="T490" s="33">
        <f t="shared" ref="T490" si="1128">R490</f>
        <v>0.41599999999999998</v>
      </c>
      <c r="U490" s="33">
        <f t="shared" ref="U490" si="1129">L490</f>
        <v>0</v>
      </c>
      <c r="V490" s="33">
        <f t="shared" ref="V490" si="1130">T490*H490%</f>
        <v>0.41599999999999998</v>
      </c>
      <c r="W490" s="33">
        <f t="shared" ref="W490" si="1131">T490*I490%</f>
        <v>0</v>
      </c>
      <c r="X490" s="33"/>
      <c r="Y490" s="33"/>
      <c r="Z490" s="33"/>
      <c r="AA490" s="33"/>
    </row>
    <row r="491" spans="1:27" x14ac:dyDescent="0.25">
      <c r="A491" s="82">
        <f>'NELIOTA (p&lt;0.5)'!A543</f>
        <v>45068</v>
      </c>
      <c r="B491" s="58" t="str">
        <f>'NELIOTA (p&lt;0.5)'!B543</f>
        <v>21:00-22:35</v>
      </c>
      <c r="C491" s="59">
        <f>'NELIOTA (p&lt;0.5)'!C543</f>
        <v>0.10100000000000001</v>
      </c>
      <c r="D491" s="120">
        <f>'NELIOTA (p&lt;0.5)'!D543</f>
        <v>0</v>
      </c>
      <c r="E491" s="120" t="str">
        <f>'NELIOTA (p&lt;0.5)'!F543</f>
        <v>Cloudiness</v>
      </c>
      <c r="F491" s="58"/>
      <c r="G491" s="8">
        <f>'NELIOTA (p&lt;0.5)'!H543</f>
        <v>0</v>
      </c>
      <c r="H491" s="8">
        <f>'NELIOTA (p&lt;0.5)'!I543</f>
        <v>100</v>
      </c>
      <c r="I491" s="8">
        <f>'NELIOTA (p&lt;0.5)'!J543</f>
        <v>0</v>
      </c>
      <c r="J491" s="82"/>
      <c r="K491" s="102">
        <f>'NELIOTA (p&lt;0.5)'!M543</f>
        <v>0</v>
      </c>
      <c r="L491" s="93">
        <f t="shared" ref="L491:L493" si="1132">K491/3600</f>
        <v>0</v>
      </c>
      <c r="N491" s="11">
        <v>1</v>
      </c>
      <c r="O491" s="11">
        <v>35</v>
      </c>
      <c r="P491" s="9">
        <f t="shared" ref="P491:P495" si="1133">N491+O491/60</f>
        <v>1.5833333333333335</v>
      </c>
      <c r="Q491" s="9">
        <f t="shared" ref="Q491" si="1134">P491*62.4%</f>
        <v>0.9880000000000001</v>
      </c>
      <c r="R491" s="9">
        <f t="shared" ref="R491:R495" si="1135">IF(G491=100,L491,Q491)</f>
        <v>0.9880000000000001</v>
      </c>
      <c r="S491" s="9">
        <f t="shared" ref="S491:S495" si="1136">100*L491/Q491</f>
        <v>0</v>
      </c>
      <c r="T491" s="9">
        <f t="shared" ref="T491:T495" si="1137">R491</f>
        <v>0.9880000000000001</v>
      </c>
      <c r="U491" s="9">
        <f t="shared" ref="U491:U495" si="1138">L491</f>
        <v>0</v>
      </c>
      <c r="V491" s="9">
        <f t="shared" ref="V491:V495" si="1139">T491*H491%</f>
        <v>0.9880000000000001</v>
      </c>
      <c r="W491" s="9">
        <f t="shared" ref="W491:W495" si="1140">T491*I491%</f>
        <v>0</v>
      </c>
      <c r="X491" s="9"/>
      <c r="Y491" s="9"/>
      <c r="Z491" s="9"/>
      <c r="AA491" s="9"/>
    </row>
    <row r="492" spans="1:27" x14ac:dyDescent="0.25">
      <c r="A492" s="82">
        <f>'NELIOTA (p&lt;0.5)'!A544</f>
        <v>45069</v>
      </c>
      <c r="B492" s="58" t="str">
        <f>'NELIOTA (p&lt;0.5)'!B544</f>
        <v>21:00-23:25</v>
      </c>
      <c r="C492" s="59">
        <f>'NELIOTA (p&lt;0.5)'!C544</f>
        <v>0.16900000000000001</v>
      </c>
      <c r="D492" s="120">
        <f>'NELIOTA (p&lt;0.5)'!D544</f>
        <v>75</v>
      </c>
      <c r="E492" s="120" t="str">
        <f>'NELIOTA (p&lt;0.5)'!F544</f>
        <v>very good</v>
      </c>
      <c r="F492" s="58"/>
      <c r="G492" s="8">
        <f>'NELIOTA (p&lt;0.5)'!H544</f>
        <v>75</v>
      </c>
      <c r="H492" s="8">
        <f>'NELIOTA (p&lt;0.5)'!I544</f>
        <v>25</v>
      </c>
      <c r="I492" s="8">
        <f>'NELIOTA (p&lt;0.5)'!J544</f>
        <v>0</v>
      </c>
      <c r="J492" s="82"/>
      <c r="K492" s="102">
        <f>'NELIOTA (p&lt;0.5)'!M544</f>
        <v>4758.62</v>
      </c>
      <c r="L492" s="93">
        <f t="shared" si="1132"/>
        <v>1.3218388888888888</v>
      </c>
      <c r="N492" s="11">
        <v>2</v>
      </c>
      <c r="O492" s="11">
        <v>25</v>
      </c>
      <c r="P492" s="9">
        <f t="shared" si="1133"/>
        <v>2.4166666666666665</v>
      </c>
      <c r="Q492" s="9">
        <f>P492*72.92%</f>
        <v>1.7622333333333333</v>
      </c>
      <c r="R492" s="9">
        <f t="shared" si="1135"/>
        <v>1.7622333333333333</v>
      </c>
      <c r="S492" s="9">
        <f t="shared" si="1136"/>
        <v>75.009300067464892</v>
      </c>
      <c r="T492" s="9">
        <f t="shared" si="1137"/>
        <v>1.7622333333333333</v>
      </c>
      <c r="U492" s="9">
        <f t="shared" si="1138"/>
        <v>1.3218388888888888</v>
      </c>
      <c r="V492" s="9">
        <f t="shared" si="1139"/>
        <v>0.44055833333333333</v>
      </c>
      <c r="W492" s="9">
        <f t="shared" si="1140"/>
        <v>0</v>
      </c>
      <c r="X492" s="9"/>
      <c r="Y492" s="9"/>
      <c r="Z492" s="9"/>
      <c r="AA492" s="9"/>
    </row>
    <row r="493" spans="1:27" x14ac:dyDescent="0.25">
      <c r="A493" s="82">
        <f>'NELIOTA (p&lt;0.5)'!A545</f>
        <v>45070</v>
      </c>
      <c r="B493" s="58" t="str">
        <f>'NELIOTA (p&lt;0.5)'!B545</f>
        <v>21:00-00:10</v>
      </c>
      <c r="C493" s="59">
        <f>'NELIOTA (p&lt;0.5)'!C545</f>
        <v>0.249</v>
      </c>
      <c r="D493" s="120">
        <f>'NELIOTA (p&lt;0.5)'!D545</f>
        <v>100</v>
      </c>
      <c r="E493" s="120" t="str">
        <f>'NELIOTA (p&lt;0.5)'!F545</f>
        <v>very good</v>
      </c>
      <c r="F493" s="58"/>
      <c r="G493" s="8">
        <f>'NELIOTA (p&lt;0.5)'!H545</f>
        <v>100</v>
      </c>
      <c r="H493" s="8">
        <f>'NELIOTA (p&lt;0.5)'!I545</f>
        <v>0</v>
      </c>
      <c r="I493" s="8">
        <f>'NELIOTA (p&lt;0.5)'!J545</f>
        <v>0</v>
      </c>
      <c r="J493" s="82"/>
      <c r="K493" s="102">
        <f>'NELIOTA (p&lt;0.5)'!M545</f>
        <v>6824.4219999999996</v>
      </c>
      <c r="L493" s="93">
        <f t="shared" si="1132"/>
        <v>1.8956727777777778</v>
      </c>
      <c r="N493" s="11">
        <v>3</v>
      </c>
      <c r="O493" s="11">
        <v>10</v>
      </c>
      <c r="P493" s="9">
        <f t="shared" si="1133"/>
        <v>3.1666666666666665</v>
      </c>
      <c r="Q493" s="9">
        <f>P493*59.85%</f>
        <v>1.8952500000000001</v>
      </c>
      <c r="R493" s="9">
        <f t="shared" si="1135"/>
        <v>1.8956727777777778</v>
      </c>
      <c r="S493" s="9">
        <f t="shared" si="1136"/>
        <v>100.02230723006346</v>
      </c>
      <c r="T493" s="9">
        <f t="shared" si="1137"/>
        <v>1.8956727777777778</v>
      </c>
      <c r="U493" s="9">
        <f t="shared" si="1138"/>
        <v>1.8956727777777778</v>
      </c>
      <c r="V493" s="9">
        <f t="shared" si="1139"/>
        <v>0</v>
      </c>
      <c r="W493" s="9">
        <f t="shared" si="1140"/>
        <v>0</v>
      </c>
      <c r="X493" s="9"/>
      <c r="Y493" s="9"/>
      <c r="Z493" s="9"/>
      <c r="AA493" s="9"/>
    </row>
    <row r="494" spans="1:27" x14ac:dyDescent="0.25">
      <c r="A494" s="82">
        <f>'NELIOTA (p&lt;0.5)'!A546</f>
        <v>45071</v>
      </c>
      <c r="B494" s="58" t="str">
        <f>'NELIOTA (p&lt;0.5)'!B546</f>
        <v>21:00-00:45</v>
      </c>
      <c r="C494" s="59">
        <f>'NELIOTA (p&lt;0.5)'!C546</f>
        <v>0.33800000000000002</v>
      </c>
      <c r="D494" s="120">
        <f>'NELIOTA (p&lt;0.5)'!D546</f>
        <v>60</v>
      </c>
      <c r="E494" s="120" t="str">
        <f>'NELIOTA (p&lt;0.5)'!F546</f>
        <v>very good</v>
      </c>
      <c r="F494" s="58"/>
      <c r="G494" s="8">
        <f>'NELIOTA (p&lt;0.5)'!H546</f>
        <v>60</v>
      </c>
      <c r="H494" s="8">
        <f>'NELIOTA (p&lt;0.5)'!I546</f>
        <v>40</v>
      </c>
      <c r="I494" s="8">
        <f>'NELIOTA (p&lt;0.5)'!J546</f>
        <v>0</v>
      </c>
      <c r="J494" s="82"/>
      <c r="K494" s="102">
        <f>'NELIOTA (p&lt;0.5)'!M546</f>
        <v>5833.6279999999997</v>
      </c>
      <c r="L494" s="93">
        <f t="shared" ref="L494:L495" si="1141">K494/3600</f>
        <v>1.6204522222222222</v>
      </c>
      <c r="N494" s="11">
        <v>3</v>
      </c>
      <c r="O494" s="11">
        <v>45</v>
      </c>
      <c r="P494" s="9">
        <f t="shared" si="1133"/>
        <v>3.75</v>
      </c>
      <c r="Q494" s="9">
        <f>P494*72%</f>
        <v>2.6999999999999997</v>
      </c>
      <c r="R494" s="9">
        <f t="shared" si="1135"/>
        <v>2.6999999999999997</v>
      </c>
      <c r="S494" s="9">
        <f t="shared" si="1136"/>
        <v>60.016748971193415</v>
      </c>
      <c r="T494" s="9">
        <f t="shared" si="1137"/>
        <v>2.6999999999999997</v>
      </c>
      <c r="U494" s="9">
        <f t="shared" si="1138"/>
        <v>1.6204522222222222</v>
      </c>
      <c r="V494" s="9">
        <f t="shared" si="1139"/>
        <v>1.0799999999999998</v>
      </c>
      <c r="W494" s="9">
        <f t="shared" si="1140"/>
        <v>0</v>
      </c>
      <c r="X494" s="9"/>
      <c r="Y494" s="9"/>
      <c r="Z494" s="9"/>
      <c r="AA494" s="9"/>
    </row>
    <row r="495" spans="1:27" x14ac:dyDescent="0.25">
      <c r="A495" s="82">
        <f>'NELIOTA (p&lt;0.5)'!A547</f>
        <v>45072</v>
      </c>
      <c r="B495" s="58" t="str">
        <f>'NELIOTA (p&lt;0.5)'!B547</f>
        <v>21:00-01:15</v>
      </c>
      <c r="C495" s="59">
        <f>'NELIOTA (p&lt;0.5)'!C547</f>
        <v>0.432</v>
      </c>
      <c r="D495" s="120">
        <f>'NELIOTA (p&lt;0.5)'!D547</f>
        <v>81</v>
      </c>
      <c r="E495" s="120" t="str">
        <f>'NELIOTA (p&lt;0.5)'!F547</f>
        <v>good</v>
      </c>
      <c r="F495" s="58"/>
      <c r="G495" s="8">
        <f>'NELIOTA (p&lt;0.5)'!H547</f>
        <v>81</v>
      </c>
      <c r="H495" s="8">
        <f>'NELIOTA (p&lt;0.5)'!I547</f>
        <v>19</v>
      </c>
      <c r="I495" s="8">
        <f>'NELIOTA (p&lt;0.5)'!J547</f>
        <v>0</v>
      </c>
      <c r="J495" s="82"/>
      <c r="K495" s="102">
        <f>'NELIOTA (p&lt;0.5)'!M547</f>
        <v>8968.6200000000008</v>
      </c>
      <c r="L495" s="93">
        <f t="shared" si="1141"/>
        <v>2.4912833333333335</v>
      </c>
      <c r="N495" s="11">
        <v>4</v>
      </c>
      <c r="O495" s="11">
        <v>15</v>
      </c>
      <c r="P495" s="9">
        <f t="shared" si="1133"/>
        <v>4.25</v>
      </c>
      <c r="Q495" s="9">
        <f>P495*72.35%</f>
        <v>3.0748749999999996</v>
      </c>
      <c r="R495" s="9">
        <f t="shared" si="1135"/>
        <v>3.0748749999999996</v>
      </c>
      <c r="S495" s="9">
        <f t="shared" si="1136"/>
        <v>81.020637695299285</v>
      </c>
      <c r="T495" s="9">
        <f t="shared" si="1137"/>
        <v>3.0748749999999996</v>
      </c>
      <c r="U495" s="9">
        <f t="shared" si="1138"/>
        <v>2.4912833333333335</v>
      </c>
      <c r="V495" s="9">
        <f t="shared" si="1139"/>
        <v>0.58422624999999995</v>
      </c>
      <c r="W495" s="9">
        <f t="shared" si="1140"/>
        <v>0</v>
      </c>
      <c r="X495" s="9">
        <f>SUM(U490:U495)</f>
        <v>7.3292472222222225</v>
      </c>
      <c r="Y495" s="9">
        <f>100*X495/SUM(T490:T495)</f>
        <v>67.633065087080496</v>
      </c>
      <c r="Z495" s="9">
        <f>100*SUM(V490:V495)/SUM(T490:T495)</f>
        <v>32.378476111653903</v>
      </c>
      <c r="AA495" s="9">
        <f>100*SUM(W490:W495)/SUM(T490:T495)</f>
        <v>0</v>
      </c>
    </row>
    <row r="496" spans="1:27" s="48" customFormat="1" x14ac:dyDescent="0.25">
      <c r="A496" s="94">
        <f>'NELIOTA (p&lt;0.5)'!A548</f>
        <v>45089</v>
      </c>
      <c r="B496" s="62" t="str">
        <f>'NELIOTA (p&lt;0.5)'!B548</f>
        <v>04:20-05:40</v>
      </c>
      <c r="C496" s="63">
        <f>'NELIOTA (p&lt;0.5)'!C548</f>
        <v>0.36399999999999999</v>
      </c>
      <c r="D496" s="172">
        <f>'NELIOTA (p&lt;0.5)'!D548</f>
        <v>65</v>
      </c>
      <c r="E496" s="172" t="str">
        <f>'NELIOTA (p&lt;0.5)'!F548</f>
        <v>moderate</v>
      </c>
      <c r="F496" s="62"/>
      <c r="G496" s="24">
        <f>'NELIOTA (p&lt;0.5)'!H548</f>
        <v>65</v>
      </c>
      <c r="H496" s="24">
        <f>'NELIOTA (p&lt;0.5)'!I548</f>
        <v>35</v>
      </c>
      <c r="I496" s="24">
        <f>'NELIOTA (p&lt;0.5)'!J548</f>
        <v>0</v>
      </c>
      <c r="J496" s="94"/>
      <c r="K496" s="100">
        <f>'NELIOTA (p&lt;0.5)'!M548</f>
        <v>2216.5790000000002</v>
      </c>
      <c r="L496" s="92">
        <f t="shared" ref="L496:L498" si="1142">K496/3600</f>
        <v>0.61571638888888891</v>
      </c>
      <c r="N496" s="47">
        <v>1</v>
      </c>
      <c r="O496" s="47">
        <v>20</v>
      </c>
      <c r="P496" s="33">
        <f t="shared" ref="P496:P498" si="1143">N496+O496/60</f>
        <v>1.3333333333333333</v>
      </c>
      <c r="Q496" s="33">
        <f>P496*71.03%</f>
        <v>0.94706666666666672</v>
      </c>
      <c r="R496" s="33">
        <f t="shared" ref="R496:R498" si="1144">IF(G496=100,L496,Q496)</f>
        <v>0.94706666666666672</v>
      </c>
      <c r="S496" s="33">
        <f t="shared" ref="S496:S498" si="1145">100*L496/Q496</f>
        <v>65.012993336149037</v>
      </c>
      <c r="T496" s="33">
        <f t="shared" ref="T496:T498" si="1146">R496</f>
        <v>0.94706666666666672</v>
      </c>
      <c r="U496" s="33">
        <f t="shared" ref="U496:U498" si="1147">L496</f>
        <v>0.61571638888888891</v>
      </c>
      <c r="V496" s="33">
        <f t="shared" ref="V496:V498" si="1148">T496*H496%</f>
        <v>0.33147333333333334</v>
      </c>
      <c r="W496" s="33">
        <f t="shared" ref="W496:W498" si="1149">T496*I496%</f>
        <v>0</v>
      </c>
      <c r="X496" s="33"/>
      <c r="Y496" s="33"/>
      <c r="Z496" s="33"/>
      <c r="AA496" s="33"/>
    </row>
    <row r="497" spans="1:27" x14ac:dyDescent="0.25">
      <c r="A497" s="82">
        <f>'NELIOTA (p&lt;0.5)'!A549</f>
        <v>45090</v>
      </c>
      <c r="B497" s="58" t="str">
        <f>'NELIOTA (p&lt;0.5)'!B549</f>
        <v>04:45-05:40</v>
      </c>
      <c r="C497" s="59">
        <f>'NELIOTA (p&lt;0.5)'!C549</f>
        <v>0.26100000000000001</v>
      </c>
      <c r="D497" s="120">
        <f>'NELIOTA (p&lt;0.5)'!D549</f>
        <v>0</v>
      </c>
      <c r="E497" s="120" t="str">
        <f>'NELIOTA (p&lt;0.5)'!F549</f>
        <v>bad</v>
      </c>
      <c r="F497" s="58"/>
      <c r="G497" s="8">
        <f>'NELIOTA (p&lt;0.5)'!H549</f>
        <v>0</v>
      </c>
      <c r="H497" s="8">
        <f>'NELIOTA (p&lt;0.5)'!I549</f>
        <v>100</v>
      </c>
      <c r="I497" s="8">
        <f>'NELIOTA (p&lt;0.5)'!J549</f>
        <v>0</v>
      </c>
      <c r="J497" s="82"/>
      <c r="K497" s="102">
        <f>'NELIOTA (p&lt;0.5)'!M549</f>
        <v>0</v>
      </c>
      <c r="L497" s="93">
        <f t="shared" si="1142"/>
        <v>0</v>
      </c>
      <c r="N497" s="11">
        <v>0</v>
      </c>
      <c r="O497" s="11">
        <v>55</v>
      </c>
      <c r="P497" s="9">
        <f t="shared" si="1143"/>
        <v>0.91666666666666663</v>
      </c>
      <c r="Q497" s="9">
        <f>P497*62.4%</f>
        <v>0.57199999999999995</v>
      </c>
      <c r="R497" s="9">
        <f t="shared" si="1144"/>
        <v>0.57199999999999995</v>
      </c>
      <c r="S497" s="9">
        <f t="shared" si="1145"/>
        <v>0</v>
      </c>
      <c r="T497" s="9">
        <f t="shared" si="1146"/>
        <v>0.57199999999999995</v>
      </c>
      <c r="U497" s="9">
        <f t="shared" si="1147"/>
        <v>0</v>
      </c>
      <c r="V497" s="9">
        <f t="shared" si="1148"/>
        <v>0.57199999999999995</v>
      </c>
      <c r="W497" s="9">
        <f t="shared" si="1149"/>
        <v>0</v>
      </c>
      <c r="X497" s="9"/>
      <c r="Y497" s="9"/>
      <c r="Z497" s="9"/>
      <c r="AA497" s="9"/>
    </row>
    <row r="498" spans="1:27" x14ac:dyDescent="0.25">
      <c r="A498" s="82">
        <f>'NELIOTA (p&lt;0.5)'!A550</f>
        <v>45091</v>
      </c>
      <c r="B498" s="58" t="str">
        <f>'NELIOTA (p&lt;0.5)'!B550</f>
        <v>05:15-05:40</v>
      </c>
      <c r="C498" s="59">
        <f>'NELIOTA (p&lt;0.5)'!C550</f>
        <v>0.17</v>
      </c>
      <c r="D498" s="120">
        <f>'NELIOTA (p&lt;0.5)'!D550</f>
        <v>0</v>
      </c>
      <c r="E498" s="120" t="str">
        <f>'NELIOTA (p&lt;0.5)'!F550</f>
        <v>bad</v>
      </c>
      <c r="F498" s="58"/>
      <c r="G498" s="8">
        <f>'NELIOTA (p&lt;0.5)'!H550</f>
        <v>0</v>
      </c>
      <c r="H498" s="8">
        <f>'NELIOTA (p&lt;0.5)'!I550</f>
        <v>100</v>
      </c>
      <c r="I498" s="8">
        <f>'NELIOTA (p&lt;0.5)'!J550</f>
        <v>0</v>
      </c>
      <c r="J498" s="82"/>
      <c r="K498" s="102">
        <f>'NELIOTA (p&lt;0.5)'!M550</f>
        <v>0</v>
      </c>
      <c r="L498" s="93">
        <f t="shared" si="1142"/>
        <v>0</v>
      </c>
      <c r="N498" s="11">
        <v>0</v>
      </c>
      <c r="O498" s="11">
        <v>25</v>
      </c>
      <c r="P498" s="9">
        <f t="shared" si="1143"/>
        <v>0.41666666666666669</v>
      </c>
      <c r="Q498" s="9">
        <f>P498*62.4%</f>
        <v>0.26</v>
      </c>
      <c r="R498" s="9">
        <f t="shared" si="1144"/>
        <v>0.26</v>
      </c>
      <c r="S498" s="9">
        <f t="shared" si="1145"/>
        <v>0</v>
      </c>
      <c r="T498" s="9">
        <f t="shared" si="1146"/>
        <v>0.26</v>
      </c>
      <c r="U498" s="9">
        <f t="shared" si="1147"/>
        <v>0</v>
      </c>
      <c r="V498" s="9">
        <f t="shared" si="1148"/>
        <v>0.26</v>
      </c>
      <c r="W498" s="9">
        <f t="shared" si="1149"/>
        <v>0</v>
      </c>
      <c r="X498" s="9"/>
      <c r="Y498" s="9"/>
      <c r="Z498" s="9"/>
      <c r="AA498" s="9"/>
    </row>
    <row r="499" spans="1:27" x14ac:dyDescent="0.25">
      <c r="A499" s="82">
        <f>'NELIOTA (p&lt;0.5)'!A551</f>
        <v>45098</v>
      </c>
      <c r="B499" s="58" t="str">
        <f>'NELIOTA (p&lt;0.5)'!B551</f>
        <v>21:20-22:40</v>
      </c>
      <c r="C499" s="59">
        <f>'NELIOTA (p&lt;0.5)'!C551</f>
        <v>0.12</v>
      </c>
      <c r="D499" s="120">
        <f>'NELIOTA (p&lt;0.5)'!D551</f>
        <v>68</v>
      </c>
      <c r="E499" s="120" t="str">
        <f>'NELIOTA (p&lt;0.5)'!F551</f>
        <v>very good</v>
      </c>
      <c r="F499" s="58"/>
      <c r="G499" s="8">
        <f>'NELIOTA (p&lt;0.5)'!H551</f>
        <v>68</v>
      </c>
      <c r="H499" s="8">
        <f>'NELIOTA (p&lt;0.5)'!I551</f>
        <v>32</v>
      </c>
      <c r="I499" s="8">
        <f>'NELIOTA (p&lt;0.5)'!J551</f>
        <v>0</v>
      </c>
      <c r="J499" s="82"/>
      <c r="K499" s="102">
        <f>'NELIOTA (p&lt;0.5)'!M551</f>
        <v>2382.547</v>
      </c>
      <c r="L499" s="93">
        <f t="shared" ref="L499:L500" si="1150">K499/3600</f>
        <v>0.66181861111111107</v>
      </c>
      <c r="N499" s="11">
        <v>1</v>
      </c>
      <c r="O499" s="11">
        <v>20</v>
      </c>
      <c r="P499" s="9">
        <f t="shared" ref="P499:P500" si="1151">N499+O499/60</f>
        <v>1.3333333333333333</v>
      </c>
      <c r="Q499" s="9">
        <f>P499*73%</f>
        <v>0.97333333333333327</v>
      </c>
      <c r="R499" s="9">
        <f t="shared" ref="R499:R500" si="1152">IF(G499=100,L499,Q499)</f>
        <v>0.97333333333333327</v>
      </c>
      <c r="S499" s="9">
        <f t="shared" ref="S499:S500" si="1153">100*L499/Q499</f>
        <v>67.995062785388129</v>
      </c>
      <c r="T499" s="9">
        <f t="shared" ref="T499:T500" si="1154">R499</f>
        <v>0.97333333333333327</v>
      </c>
      <c r="U499" s="9">
        <f t="shared" ref="U499:U500" si="1155">L499</f>
        <v>0.66181861111111107</v>
      </c>
      <c r="V499" s="9">
        <f t="shared" ref="V499:V500" si="1156">T499*H499%</f>
        <v>0.31146666666666667</v>
      </c>
      <c r="W499" s="9">
        <f t="shared" ref="W499:W500" si="1157">T499*I499%</f>
        <v>0</v>
      </c>
      <c r="X499" s="9"/>
      <c r="Y499" s="9"/>
      <c r="Z499" s="9"/>
      <c r="AA499" s="9"/>
    </row>
    <row r="500" spans="1:27" x14ac:dyDescent="0.25">
      <c r="A500" s="82">
        <f>'NELIOTA (p&lt;0.5)'!A552</f>
        <v>45099</v>
      </c>
      <c r="B500" s="58" t="str">
        <f>'NELIOTA (p&lt;0.5)'!B552</f>
        <v>21:20-23:15</v>
      </c>
      <c r="C500" s="59">
        <f>'NELIOTA (p&lt;0.5)'!C552</f>
        <v>0.191</v>
      </c>
      <c r="D500" s="120">
        <f>'NELIOTA (p&lt;0.5)'!D552</f>
        <v>100</v>
      </c>
      <c r="E500" s="120" t="str">
        <f>'NELIOTA (p&lt;0.5)'!F552</f>
        <v>very good</v>
      </c>
      <c r="F500" s="58"/>
      <c r="G500" s="8">
        <f>'NELIOTA (p&lt;0.5)'!H552</f>
        <v>100</v>
      </c>
      <c r="H500" s="8">
        <f>'NELIOTA (p&lt;0.5)'!I552</f>
        <v>0</v>
      </c>
      <c r="I500" s="8">
        <f>'NELIOTA (p&lt;0.5)'!J552</f>
        <v>0</v>
      </c>
      <c r="J500" s="82"/>
      <c r="K500" s="102">
        <f>'NELIOTA (p&lt;0.5)'!M552</f>
        <v>4089.2849999999999</v>
      </c>
      <c r="L500" s="93">
        <f t="shared" si="1150"/>
        <v>1.1359124999999999</v>
      </c>
      <c r="N500" s="11">
        <v>1</v>
      </c>
      <c r="O500" s="11">
        <v>55</v>
      </c>
      <c r="P500" s="9">
        <f t="shared" si="1151"/>
        <v>1.9166666666666665</v>
      </c>
      <c r="Q500" s="9">
        <f>P500*59.25%</f>
        <v>1.1356249999999999</v>
      </c>
      <c r="R500" s="9">
        <f t="shared" si="1152"/>
        <v>1.1359124999999999</v>
      </c>
      <c r="S500" s="9">
        <f t="shared" si="1153"/>
        <v>100.0253164556962</v>
      </c>
      <c r="T500" s="9">
        <f t="shared" si="1154"/>
        <v>1.1359124999999999</v>
      </c>
      <c r="U500" s="9">
        <f t="shared" si="1155"/>
        <v>1.1359124999999999</v>
      </c>
      <c r="V500" s="9">
        <f t="shared" si="1156"/>
        <v>0</v>
      </c>
      <c r="W500" s="9">
        <f t="shared" si="1157"/>
        <v>0</v>
      </c>
      <c r="X500" s="9"/>
      <c r="Y500" s="9"/>
      <c r="Z500" s="9"/>
      <c r="AA500" s="9"/>
    </row>
    <row r="501" spans="1:27" x14ac:dyDescent="0.25">
      <c r="A501" s="82">
        <f>'NELIOTA (p&lt;0.5)'!A553</f>
        <v>45100</v>
      </c>
      <c r="B501" s="58" t="str">
        <f>'NELIOTA (p&lt;0.5)'!B553</f>
        <v>21:20-23:40</v>
      </c>
      <c r="C501" s="59">
        <f>'NELIOTA (p&lt;0.5)'!C553</f>
        <v>0.27200000000000002</v>
      </c>
      <c r="D501" s="120">
        <f>'NELIOTA (p&lt;0.5)'!D553</f>
        <v>100</v>
      </c>
      <c r="E501" s="120" t="str">
        <f>'NELIOTA (p&lt;0.5)'!F553</f>
        <v>very good</v>
      </c>
      <c r="F501" s="58"/>
      <c r="G501" s="8">
        <f>'NELIOTA (p&lt;0.5)'!H553</f>
        <v>100</v>
      </c>
      <c r="H501" s="8">
        <f>'NELIOTA (p&lt;0.5)'!I553</f>
        <v>0</v>
      </c>
      <c r="I501" s="8">
        <f>'NELIOTA (p&lt;0.5)'!J553</f>
        <v>0</v>
      </c>
      <c r="J501" s="82"/>
      <c r="K501" s="102">
        <f>'NELIOTA (p&lt;0.5)'!M553</f>
        <v>5290.5519999999997</v>
      </c>
      <c r="L501" s="93">
        <f t="shared" ref="L501" si="1158">K501/3600</f>
        <v>1.4695977777777778</v>
      </c>
      <c r="N501" s="11">
        <v>2</v>
      </c>
      <c r="O501" s="11">
        <v>20</v>
      </c>
      <c r="P501" s="9">
        <f t="shared" ref="P501" si="1159">N501+O501/60</f>
        <v>2.3333333333333335</v>
      </c>
      <c r="Q501" s="9">
        <f>P501*62.98%</f>
        <v>1.4695333333333331</v>
      </c>
      <c r="R501" s="9">
        <f t="shared" ref="R501" si="1160">IF(G501=100,L501,Q501)</f>
        <v>1.4695977777777778</v>
      </c>
      <c r="S501" s="9">
        <f t="shared" ref="S501" si="1161">100*L501/Q501</f>
        <v>100.00438536799288</v>
      </c>
      <c r="T501" s="9">
        <f t="shared" ref="T501" si="1162">R501</f>
        <v>1.4695977777777778</v>
      </c>
      <c r="U501" s="9">
        <f t="shared" ref="U501" si="1163">L501</f>
        <v>1.4695977777777778</v>
      </c>
      <c r="V501" s="9">
        <f t="shared" ref="V501" si="1164">T501*H501%</f>
        <v>0</v>
      </c>
      <c r="W501" s="9">
        <f t="shared" ref="W501" si="1165">T501*I501%</f>
        <v>0</v>
      </c>
      <c r="X501" s="9"/>
      <c r="Y501" s="9"/>
      <c r="Z501" s="9"/>
      <c r="AA501" s="9"/>
    </row>
    <row r="502" spans="1:27" x14ac:dyDescent="0.25">
      <c r="A502" s="82">
        <f>'NELIOTA (p&lt;0.5)'!A554</f>
        <v>45101</v>
      </c>
      <c r="B502" s="58" t="str">
        <f>'NELIOTA (p&lt;0.5)'!B554</f>
        <v>21:20-00:05</v>
      </c>
      <c r="C502" s="59">
        <f>'NELIOTA (p&lt;0.5)'!C554</f>
        <v>0.36199999999999999</v>
      </c>
      <c r="D502" s="120">
        <f>'NELIOTA (p&lt;0.5)'!D554</f>
        <v>18</v>
      </c>
      <c r="E502" s="120" t="str">
        <f>'NELIOTA (p&lt;0.5)'!F554</f>
        <v>moderate</v>
      </c>
      <c r="F502" s="58"/>
      <c r="G502" s="8">
        <f>'NELIOTA (p&lt;0.5)'!H554</f>
        <v>18</v>
      </c>
      <c r="H502" s="8">
        <f>'NELIOTA (p&lt;0.5)'!I554</f>
        <v>82</v>
      </c>
      <c r="I502" s="8">
        <f>'NELIOTA (p&lt;0.5)'!J554</f>
        <v>0</v>
      </c>
      <c r="J502" s="82"/>
      <c r="K502" s="102">
        <f>'NELIOTA (p&lt;0.5)'!M554</f>
        <v>1793.5170000000001</v>
      </c>
      <c r="L502" s="93">
        <f t="shared" ref="L502" si="1166">K502/3600</f>
        <v>0.49819916666666669</v>
      </c>
      <c r="N502" s="11">
        <v>3</v>
      </c>
      <c r="O502" s="11">
        <v>45</v>
      </c>
      <c r="P502" s="9">
        <f t="shared" ref="P502" si="1167">N502+O502/60</f>
        <v>3.75</v>
      </c>
      <c r="Q502" s="9">
        <f>P502*73.8%</f>
        <v>2.7675000000000001</v>
      </c>
      <c r="R502" s="9">
        <f t="shared" ref="R502" si="1168">IF(G502=100,L502,Q502)</f>
        <v>2.7675000000000001</v>
      </c>
      <c r="S502" s="9">
        <f t="shared" ref="S502" si="1169">100*L502/Q502</f>
        <v>18.00177657332129</v>
      </c>
      <c r="T502" s="9">
        <f t="shared" ref="T502" si="1170">R502</f>
        <v>2.7675000000000001</v>
      </c>
      <c r="U502" s="9">
        <f t="shared" ref="U502" si="1171">L502</f>
        <v>0.49819916666666669</v>
      </c>
      <c r="V502" s="9">
        <f t="shared" ref="V502" si="1172">T502*H502%</f>
        <v>2.2693499999999998</v>
      </c>
      <c r="W502" s="9">
        <f t="shared" ref="W502" si="1173">T502*I502%</f>
        <v>0</v>
      </c>
      <c r="X502" s="9">
        <f>SUM(U496:U502)</f>
        <v>4.3812444444444445</v>
      </c>
      <c r="Y502" s="9">
        <f>100*X502/SUM(T496:T502)</f>
        <v>53.92028580300407</v>
      </c>
      <c r="Z502" s="9">
        <f>100*SUM(V496:V502)/SUM(T496:T502)</f>
        <v>46.081242324960201</v>
      </c>
      <c r="AA502" s="9">
        <f>100*SUM(W496:W502)/SUM(T496:T502)</f>
        <v>0</v>
      </c>
    </row>
    <row r="503" spans="1:27" s="48" customFormat="1" x14ac:dyDescent="0.25">
      <c r="A503" s="94">
        <f>'NELIOTA (p&lt;0.5)'!A555</f>
        <v>45118</v>
      </c>
      <c r="B503" s="62" t="str">
        <f>'NELIOTA (p&lt;0.5)'!B555</f>
        <v>03:15-05:50</v>
      </c>
      <c r="C503" s="63">
        <f>'NELIOTA (p&lt;0.5)'!C555</f>
        <v>0.39900000000000002</v>
      </c>
      <c r="D503" s="172">
        <f>'NELIOTA (p&lt;0.5)'!D555</f>
        <v>0</v>
      </c>
      <c r="E503" s="172" t="str">
        <f>'NELIOTA (p&lt;0.5)'!F555</f>
        <v>good</v>
      </c>
      <c r="F503" s="62"/>
      <c r="G503" s="24">
        <f>'NELIOTA (p&lt;0.5)'!H555</f>
        <v>0</v>
      </c>
      <c r="H503" s="24">
        <f>'NELIOTA (p&lt;0.5)'!I555</f>
        <v>0</v>
      </c>
      <c r="I503" s="24">
        <f>'NELIOTA (p&lt;0.5)'!J555</f>
        <v>100</v>
      </c>
      <c r="J503" s="94"/>
      <c r="K503" s="100">
        <f>'NELIOTA (p&lt;0.5)'!M555</f>
        <v>0</v>
      </c>
      <c r="L503" s="92">
        <f t="shared" ref="L503:L506" si="1174">K503/3600</f>
        <v>0</v>
      </c>
      <c r="N503" s="47">
        <v>2</v>
      </c>
      <c r="O503" s="47">
        <v>35</v>
      </c>
      <c r="P503" s="33">
        <f t="shared" ref="P503:P506" si="1175">N503+O503/60</f>
        <v>2.5833333333333335</v>
      </c>
      <c r="Q503" s="33">
        <f t="shared" ref="Q503:Q506" si="1176">P503*73.8%</f>
        <v>1.9065000000000001</v>
      </c>
      <c r="R503" s="33">
        <f t="shared" ref="R503:R506" si="1177">IF(G503=100,L503,Q503)</f>
        <v>1.9065000000000001</v>
      </c>
      <c r="S503" s="33">
        <f t="shared" ref="S503:S506" si="1178">100*L503/Q503</f>
        <v>0</v>
      </c>
      <c r="T503" s="33">
        <f t="shared" ref="T503:T506" si="1179">R503</f>
        <v>1.9065000000000001</v>
      </c>
      <c r="U503" s="33">
        <f t="shared" ref="U503:U506" si="1180">L503</f>
        <v>0</v>
      </c>
      <c r="V503" s="33">
        <f t="shared" ref="V503:V506" si="1181">T503*H503%</f>
        <v>0</v>
      </c>
      <c r="W503" s="33">
        <f t="shared" ref="W503:W506" si="1182">T503*I503%</f>
        <v>1.9065000000000001</v>
      </c>
      <c r="X503" s="33"/>
      <c r="Y503" s="33"/>
      <c r="Z503" s="33"/>
      <c r="AA503" s="33"/>
    </row>
    <row r="504" spans="1:27" x14ac:dyDescent="0.25">
      <c r="A504" s="82">
        <f>'NELIOTA (p&lt;0.5)'!A556</f>
        <v>45119</v>
      </c>
      <c r="B504" s="58" t="str">
        <f>'NELIOTA (p&lt;0.5)'!B556</f>
        <v>03:45-05:50</v>
      </c>
      <c r="C504" s="59">
        <f>'NELIOTA (p&lt;0.5)'!C556</f>
        <v>0.29599999999999999</v>
      </c>
      <c r="D504" s="120">
        <f>'NELIOTA (p&lt;0.5)'!D556</f>
        <v>0</v>
      </c>
      <c r="E504" s="120" t="str">
        <f>'NELIOTA (p&lt;0.5)'!F556</f>
        <v>good</v>
      </c>
      <c r="F504" s="58"/>
      <c r="G504" s="8">
        <f>'NELIOTA (p&lt;0.5)'!H556</f>
        <v>0</v>
      </c>
      <c r="H504" s="8">
        <f>'NELIOTA (p&lt;0.5)'!I556</f>
        <v>0</v>
      </c>
      <c r="I504" s="8">
        <f>'NELIOTA (p&lt;0.5)'!J556</f>
        <v>100</v>
      </c>
      <c r="J504" s="82"/>
      <c r="K504" s="102">
        <f>'NELIOTA (p&lt;0.5)'!M556</f>
        <v>0</v>
      </c>
      <c r="L504" s="93">
        <f t="shared" si="1174"/>
        <v>0</v>
      </c>
      <c r="N504" s="11">
        <v>2</v>
      </c>
      <c r="O504" s="11">
        <v>5</v>
      </c>
      <c r="P504" s="9">
        <f t="shared" si="1175"/>
        <v>2.0833333333333335</v>
      </c>
      <c r="Q504" s="9">
        <f t="shared" si="1176"/>
        <v>1.5375000000000001</v>
      </c>
      <c r="R504" s="9">
        <f t="shared" si="1177"/>
        <v>1.5375000000000001</v>
      </c>
      <c r="S504" s="9">
        <f t="shared" si="1178"/>
        <v>0</v>
      </c>
      <c r="T504" s="9">
        <f t="shared" si="1179"/>
        <v>1.5375000000000001</v>
      </c>
      <c r="U504" s="9">
        <f t="shared" si="1180"/>
        <v>0</v>
      </c>
      <c r="V504" s="9">
        <f t="shared" si="1181"/>
        <v>0</v>
      </c>
      <c r="W504" s="9">
        <f t="shared" si="1182"/>
        <v>1.5375000000000001</v>
      </c>
      <c r="X504" s="9"/>
      <c r="Y504" s="9"/>
      <c r="Z504" s="9"/>
      <c r="AA504" s="9"/>
    </row>
    <row r="505" spans="1:27" x14ac:dyDescent="0.25">
      <c r="A505" s="82">
        <f>'NELIOTA (p&lt;0.5)'!A557</f>
        <v>45120</v>
      </c>
      <c r="B505" s="58" t="str">
        <f>'NELIOTA (p&lt;0.5)'!B557</f>
        <v>04:25-05:50</v>
      </c>
      <c r="C505" s="59">
        <f>'NELIOTA (p&lt;0.5)'!C557</f>
        <v>0.20399999999999999</v>
      </c>
      <c r="D505" s="120">
        <f>'NELIOTA (p&lt;0.5)'!D557</f>
        <v>0</v>
      </c>
      <c r="E505" s="120" t="str">
        <f>'NELIOTA (p&lt;0.5)'!F557</f>
        <v>good</v>
      </c>
      <c r="F505" s="58"/>
      <c r="G505" s="8">
        <f>'NELIOTA (p&lt;0.5)'!H557</f>
        <v>0</v>
      </c>
      <c r="H505" s="8">
        <f>'NELIOTA (p&lt;0.5)'!I557</f>
        <v>0</v>
      </c>
      <c r="I505" s="8">
        <f>'NELIOTA (p&lt;0.5)'!J557</f>
        <v>100</v>
      </c>
      <c r="J505" s="82"/>
      <c r="K505" s="102">
        <f>'NELIOTA (p&lt;0.5)'!M557</f>
        <v>0</v>
      </c>
      <c r="L505" s="93">
        <f t="shared" si="1174"/>
        <v>0</v>
      </c>
      <c r="N505" s="11">
        <v>1</v>
      </c>
      <c r="O505" s="11">
        <v>25</v>
      </c>
      <c r="P505" s="9">
        <f t="shared" si="1175"/>
        <v>1.4166666666666667</v>
      </c>
      <c r="Q505" s="9">
        <f t="shared" si="1176"/>
        <v>1.0455000000000001</v>
      </c>
      <c r="R505" s="9">
        <f t="shared" si="1177"/>
        <v>1.0455000000000001</v>
      </c>
      <c r="S505" s="9">
        <f t="shared" si="1178"/>
        <v>0</v>
      </c>
      <c r="T505" s="9">
        <f t="shared" si="1179"/>
        <v>1.0455000000000001</v>
      </c>
      <c r="U505" s="9">
        <f t="shared" si="1180"/>
        <v>0</v>
      </c>
      <c r="V505" s="9">
        <f t="shared" si="1181"/>
        <v>0</v>
      </c>
      <c r="W505" s="9">
        <f t="shared" si="1182"/>
        <v>1.0455000000000001</v>
      </c>
      <c r="X505" s="9"/>
      <c r="Y505" s="9"/>
      <c r="Z505" s="9"/>
      <c r="AA505" s="9"/>
    </row>
    <row r="506" spans="1:27" x14ac:dyDescent="0.25">
      <c r="A506" s="82">
        <f>'NELIOTA (p&lt;0.5)'!A558</f>
        <v>45121</v>
      </c>
      <c r="B506" s="58" t="str">
        <f>'NELIOTA (p&lt;0.5)'!B558</f>
        <v>05:05-05:50</v>
      </c>
      <c r="C506" s="59">
        <f>'NELIOTA (p&lt;0.5)'!C558</f>
        <v>0.127</v>
      </c>
      <c r="D506" s="120">
        <f>'NELIOTA (p&lt;0.5)'!D558</f>
        <v>0</v>
      </c>
      <c r="E506" s="120" t="str">
        <f>'NELIOTA (p&lt;0.5)'!F558</f>
        <v>good</v>
      </c>
      <c r="F506" s="58"/>
      <c r="G506" s="8">
        <f>'NELIOTA (p&lt;0.5)'!H558</f>
        <v>0</v>
      </c>
      <c r="H506" s="8">
        <f>'NELIOTA (p&lt;0.5)'!I558</f>
        <v>0</v>
      </c>
      <c r="I506" s="8">
        <f>'NELIOTA (p&lt;0.5)'!J558</f>
        <v>100</v>
      </c>
      <c r="J506" s="82"/>
      <c r="K506" s="102">
        <f>'NELIOTA (p&lt;0.5)'!M558</f>
        <v>0</v>
      </c>
      <c r="L506" s="93">
        <f t="shared" si="1174"/>
        <v>0</v>
      </c>
      <c r="N506" s="11">
        <v>0</v>
      </c>
      <c r="O506" s="11">
        <v>45</v>
      </c>
      <c r="P506" s="9">
        <f t="shared" si="1175"/>
        <v>0.75</v>
      </c>
      <c r="Q506" s="9">
        <f t="shared" si="1176"/>
        <v>0.55349999999999999</v>
      </c>
      <c r="R506" s="9">
        <f t="shared" si="1177"/>
        <v>0.55349999999999999</v>
      </c>
      <c r="S506" s="9">
        <f t="shared" si="1178"/>
        <v>0</v>
      </c>
      <c r="T506" s="9">
        <f t="shared" si="1179"/>
        <v>0.55349999999999999</v>
      </c>
      <c r="U506" s="9">
        <f t="shared" si="1180"/>
        <v>0</v>
      </c>
      <c r="V506" s="9">
        <f t="shared" si="1181"/>
        <v>0</v>
      </c>
      <c r="W506" s="9">
        <f t="shared" si="1182"/>
        <v>0.55349999999999999</v>
      </c>
      <c r="X506" s="9"/>
      <c r="Y506" s="9"/>
      <c r="Z506" s="9"/>
      <c r="AA506" s="9"/>
    </row>
    <row r="507" spans="1:27" x14ac:dyDescent="0.25">
      <c r="A507" s="82">
        <f>'NELIOTA (p&lt;0.5)'!A559</f>
        <v>45128</v>
      </c>
      <c r="B507" s="58" t="str">
        <f>'NELIOTA (p&lt;0.5)'!B559</f>
        <v>21:15-22:10</v>
      </c>
      <c r="C507" s="59">
        <f>'NELIOTA (p&lt;0.5)'!C559</f>
        <v>0.14099999999999999</v>
      </c>
      <c r="D507" s="120">
        <f>'NELIOTA (p&lt;0.5)'!D559</f>
        <v>70</v>
      </c>
      <c r="E507" s="120" t="str">
        <f>'NELIOTA (p&lt;0.5)'!F559</f>
        <v>very good</v>
      </c>
      <c r="F507" s="58"/>
      <c r="G507" s="8">
        <f>'NELIOTA (p&lt;0.5)'!H559</f>
        <v>70</v>
      </c>
      <c r="H507" s="8">
        <f>'NELIOTA (p&lt;0.5)'!I559</f>
        <v>0</v>
      </c>
      <c r="I507" s="8">
        <f>'NELIOTA (p&lt;0.5)'!J559</f>
        <v>30</v>
      </c>
      <c r="J507" s="82"/>
      <c r="K507" s="102">
        <f>'NELIOTA (p&lt;0.5)'!M559</f>
        <v>1665.4069999999999</v>
      </c>
      <c r="L507" s="93">
        <f t="shared" ref="L507" si="1183">K507/3600</f>
        <v>0.46261305555555554</v>
      </c>
      <c r="N507" s="11">
        <v>0</v>
      </c>
      <c r="O507" s="11">
        <v>55</v>
      </c>
      <c r="P507" s="9">
        <f t="shared" ref="P507" si="1184">N507+O507/60</f>
        <v>0.91666666666666663</v>
      </c>
      <c r="Q507" s="9">
        <f>P507*72.1%</f>
        <v>0.6609166666666666</v>
      </c>
      <c r="R507" s="9">
        <f t="shared" ref="R507" si="1185">IF(G507=100,L507,Q507)</f>
        <v>0.6609166666666666</v>
      </c>
      <c r="S507" s="9">
        <f t="shared" ref="S507" si="1186">100*L507/Q507</f>
        <v>69.995670995670991</v>
      </c>
      <c r="T507" s="9">
        <f t="shared" ref="T507" si="1187">R507</f>
        <v>0.6609166666666666</v>
      </c>
      <c r="U507" s="9">
        <f t="shared" ref="U507" si="1188">L507</f>
        <v>0.46261305555555554</v>
      </c>
      <c r="V507" s="9">
        <f t="shared" ref="V507" si="1189">T507*H507%</f>
        <v>0</v>
      </c>
      <c r="W507" s="9">
        <f t="shared" ref="W507" si="1190">T507*I507%</f>
        <v>0.19827499999999998</v>
      </c>
      <c r="X507" s="9"/>
      <c r="Y507" s="9"/>
      <c r="Z507" s="9"/>
      <c r="AA507" s="9"/>
    </row>
    <row r="508" spans="1:27" x14ac:dyDescent="0.25">
      <c r="A508" s="82">
        <f>'NELIOTA (p&lt;0.5)'!A560</f>
        <v>45129</v>
      </c>
      <c r="B508" s="58" t="str">
        <f>'NELIOTA (p&lt;0.5)'!B560</f>
        <v>21:15-22:30</v>
      </c>
      <c r="C508" s="59">
        <f>'NELIOTA (p&lt;0.5)'!C560</f>
        <v>0.214</v>
      </c>
      <c r="D508" s="120">
        <f>'NELIOTA (p&lt;0.5)'!D560</f>
        <v>80</v>
      </c>
      <c r="E508" s="120" t="str">
        <f>'NELIOTA (p&lt;0.5)'!F560</f>
        <v>good</v>
      </c>
      <c r="F508" s="58"/>
      <c r="G508" s="8">
        <f>'NELIOTA (p&lt;0.5)'!H560</f>
        <v>80</v>
      </c>
      <c r="H508" s="8">
        <f>'NELIOTA (p&lt;0.5)'!I560</f>
        <v>0</v>
      </c>
      <c r="I508" s="8">
        <f>'NELIOTA (p&lt;0.5)'!J560</f>
        <v>20</v>
      </c>
      <c r="J508" s="82"/>
      <c r="K508" s="102">
        <f>'NELIOTA (p&lt;0.5)'!M560</f>
        <v>2464.5880000000002</v>
      </c>
      <c r="L508" s="93">
        <f t="shared" ref="L508" si="1191">K508/3600</f>
        <v>0.68460777777777782</v>
      </c>
      <c r="N508" s="11">
        <v>1</v>
      </c>
      <c r="O508" s="11">
        <v>15</v>
      </c>
      <c r="P508" s="9">
        <f t="shared" ref="P508" si="1192">N508+O508/60</f>
        <v>1.25</v>
      </c>
      <c r="Q508" s="9">
        <f>P508*68.4%</f>
        <v>0.85500000000000009</v>
      </c>
      <c r="R508" s="9">
        <f t="shared" ref="R508" si="1193">IF(G508=100,L508,Q508)</f>
        <v>0.85500000000000009</v>
      </c>
      <c r="S508" s="9">
        <f t="shared" ref="S508" si="1194">100*L508/Q508</f>
        <v>80.071085120207925</v>
      </c>
      <c r="T508" s="9">
        <f t="shared" ref="T508" si="1195">R508</f>
        <v>0.85500000000000009</v>
      </c>
      <c r="U508" s="9">
        <f t="shared" ref="U508" si="1196">L508</f>
        <v>0.68460777777777782</v>
      </c>
      <c r="V508" s="9">
        <f t="shared" ref="V508" si="1197">T508*H508%</f>
        <v>0</v>
      </c>
      <c r="W508" s="9">
        <f t="shared" ref="W508" si="1198">T508*I508%</f>
        <v>0.17100000000000004</v>
      </c>
      <c r="X508" s="9"/>
      <c r="Y508" s="9"/>
      <c r="Z508" s="9"/>
      <c r="AA508" s="9"/>
    </row>
    <row r="509" spans="1:27" x14ac:dyDescent="0.25">
      <c r="A509" s="82">
        <f>'NELIOTA (p&lt;0.5)'!A561</f>
        <v>45130</v>
      </c>
      <c r="B509" s="58" t="str">
        <f>'NELIOTA (p&lt;0.5)'!B561</f>
        <v>21:15-22:50</v>
      </c>
      <c r="C509" s="59">
        <f>'NELIOTA (p&lt;0.5)'!C561</f>
        <v>0.29899999999999999</v>
      </c>
      <c r="D509" s="120">
        <f>'NELIOTA (p&lt;0.5)'!D561</f>
        <v>0</v>
      </c>
      <c r="E509" s="120" t="str">
        <f>'NELIOTA (p&lt;0.5)'!F561</f>
        <v>moderate</v>
      </c>
      <c r="F509" s="58"/>
      <c r="G509" s="8">
        <f>'NELIOTA (p&lt;0.5)'!H561</f>
        <v>0</v>
      </c>
      <c r="H509" s="8">
        <f>'NELIOTA (p&lt;0.5)'!I561</f>
        <v>100</v>
      </c>
      <c r="I509" s="8">
        <f>'NELIOTA (p&lt;0.5)'!J561</f>
        <v>0</v>
      </c>
      <c r="J509" s="82"/>
      <c r="K509" s="102">
        <f>'NELIOTA (p&lt;0.5)'!M561</f>
        <v>0</v>
      </c>
      <c r="L509" s="93">
        <f t="shared" ref="L509" si="1199">K509/3600</f>
        <v>0</v>
      </c>
      <c r="N509" s="11">
        <v>1</v>
      </c>
      <c r="O509" s="11">
        <v>35</v>
      </c>
      <c r="P509" s="9">
        <f t="shared" ref="P509" si="1200">N509+O509/60</f>
        <v>1.5833333333333335</v>
      </c>
      <c r="Q509" s="9">
        <f>P509*63%</f>
        <v>0.99750000000000005</v>
      </c>
      <c r="R509" s="9">
        <f t="shared" ref="R509" si="1201">IF(G509=100,L509,Q509)</f>
        <v>0.99750000000000005</v>
      </c>
      <c r="S509" s="9">
        <f t="shared" ref="S509" si="1202">100*L509/Q509</f>
        <v>0</v>
      </c>
      <c r="T509" s="9">
        <f t="shared" ref="T509" si="1203">R509</f>
        <v>0.99750000000000005</v>
      </c>
      <c r="U509" s="9">
        <f t="shared" ref="U509" si="1204">L509</f>
        <v>0</v>
      </c>
      <c r="V509" s="9">
        <f t="shared" ref="V509" si="1205">T509*H509%</f>
        <v>0.99750000000000005</v>
      </c>
      <c r="W509" s="9">
        <f t="shared" ref="W509" si="1206">T509*I509%</f>
        <v>0</v>
      </c>
      <c r="X509" s="9"/>
      <c r="Y509" s="9"/>
      <c r="Z509" s="9"/>
      <c r="AA509" s="9"/>
    </row>
    <row r="510" spans="1:27" x14ac:dyDescent="0.25">
      <c r="A510" s="82">
        <f>'NELIOTA (p&lt;0.5)'!A562</f>
        <v>45131</v>
      </c>
      <c r="B510" s="58" t="str">
        <f>'NELIOTA (p&lt;0.5)'!B562</f>
        <v>21:15-23:10</v>
      </c>
      <c r="C510" s="59">
        <f>'NELIOTA (p&lt;0.5)'!C562</f>
        <v>0.39300000000000002</v>
      </c>
      <c r="D510" s="120">
        <f>'NELIOTA (p&lt;0.5)'!D562</f>
        <v>66</v>
      </c>
      <c r="E510" s="120" t="str">
        <f>'NELIOTA (p&lt;0.5)'!F562</f>
        <v>moderate</v>
      </c>
      <c r="F510" s="58"/>
      <c r="G510" s="8">
        <f>'NELIOTA (p&lt;0.5)'!H562</f>
        <v>66</v>
      </c>
      <c r="H510" s="8">
        <f>'NELIOTA (p&lt;0.5)'!I562</f>
        <v>0</v>
      </c>
      <c r="I510" s="8">
        <f>'NELIOTA (p&lt;0.5)'!J562</f>
        <v>34</v>
      </c>
      <c r="J510" s="82"/>
      <c r="K510" s="102">
        <f>'NELIOTA (p&lt;0.5)'!M562</f>
        <v>3299.3960000000002</v>
      </c>
      <c r="L510" s="93">
        <f t="shared" ref="L510" si="1207">K510/3600</f>
        <v>0.91649888888888897</v>
      </c>
      <c r="N510" s="11">
        <v>1</v>
      </c>
      <c r="O510" s="11">
        <v>55</v>
      </c>
      <c r="P510" s="9">
        <f t="shared" ref="P510" si="1208">N510+O510/60</f>
        <v>1.9166666666666665</v>
      </c>
      <c r="Q510" s="9">
        <f>P510*72.4%</f>
        <v>1.3876666666666668</v>
      </c>
      <c r="R510" s="9">
        <f t="shared" ref="R510" si="1209">IF(G510=100,L510,Q510)</f>
        <v>1.3876666666666668</v>
      </c>
      <c r="S510" s="9">
        <f t="shared" ref="S510" si="1210">100*L510/Q510</f>
        <v>66.046040515653772</v>
      </c>
      <c r="T510" s="9">
        <f t="shared" ref="T510" si="1211">R510</f>
        <v>1.3876666666666668</v>
      </c>
      <c r="U510" s="9">
        <f t="shared" ref="U510" si="1212">L510</f>
        <v>0.91649888888888897</v>
      </c>
      <c r="V510" s="9">
        <f t="shared" ref="V510" si="1213">T510*H510%</f>
        <v>0</v>
      </c>
      <c r="W510" s="9">
        <f t="shared" ref="W510" si="1214">T510*I510%</f>
        <v>0.47180666666666676</v>
      </c>
      <c r="X510" s="9">
        <f>SUM(U503:U510)</f>
        <v>2.0637197222222223</v>
      </c>
      <c r="Y510" s="9">
        <f>100*X510/SUM(T503:T510)</f>
        <v>23.073574398966421</v>
      </c>
      <c r="Z510" s="9">
        <f>100*SUM(V503:V510)/SUM(T503:T510)</f>
        <v>11.152624174267904</v>
      </c>
      <c r="AA510" s="9">
        <f>100*SUM(W503:W510)/SUM(T503:T510)</f>
        <v>65.787419989005755</v>
      </c>
    </row>
    <row r="511" spans="1:27" s="48" customFormat="1" x14ac:dyDescent="0.25">
      <c r="A511" s="94">
        <f>'NELIOTA (p&lt;0.5)'!A563</f>
        <v>45147</v>
      </c>
      <c r="B511" s="62" t="str">
        <f>'NELIOTA (p&lt;0.5)'!B563</f>
        <v>02:25-06:15</v>
      </c>
      <c r="C511" s="63">
        <f>'NELIOTA (p&lt;0.5)'!C563</f>
        <v>0.441</v>
      </c>
      <c r="D511" s="172">
        <f>'NELIOTA (p&lt;0.5)'!D563</f>
        <v>8</v>
      </c>
      <c r="E511" s="172" t="str">
        <f>'NELIOTA (p&lt;0.5)'!F563</f>
        <v>moderate</v>
      </c>
      <c r="F511" s="62"/>
      <c r="G511" s="24">
        <f>'NELIOTA (p&lt;0.5)'!H563</f>
        <v>8</v>
      </c>
      <c r="H511" s="24">
        <f>'NELIOTA (p&lt;0.5)'!I563</f>
        <v>92</v>
      </c>
      <c r="I511" s="24">
        <f>'NELIOTA (p&lt;0.5)'!J563</f>
        <v>0</v>
      </c>
      <c r="J511" s="94"/>
      <c r="K511" s="100">
        <f>'NELIOTA (p&lt;0.5)'!M563</f>
        <v>800.99800000000005</v>
      </c>
      <c r="L511" s="92">
        <f t="shared" ref="L511:L515" si="1215">K511/3600</f>
        <v>0.22249944444444444</v>
      </c>
      <c r="N511" s="47">
        <v>3</v>
      </c>
      <c r="O511" s="47">
        <v>50</v>
      </c>
      <c r="P511" s="33">
        <f t="shared" ref="P511:P515" si="1216">N511+O511/60</f>
        <v>3.8333333333333335</v>
      </c>
      <c r="Q511" s="33">
        <f>P511*72.5%</f>
        <v>2.7791666666666668</v>
      </c>
      <c r="R511" s="33">
        <f t="shared" ref="R511:R515" si="1217">IF(G511=100,L511,Q511)</f>
        <v>2.7791666666666668</v>
      </c>
      <c r="S511" s="33">
        <f t="shared" ref="S511:S515" si="1218">100*L511/Q511</f>
        <v>8.0059770114942523</v>
      </c>
      <c r="T511" s="33">
        <f t="shared" ref="T511:T515" si="1219">R511</f>
        <v>2.7791666666666668</v>
      </c>
      <c r="U511" s="33">
        <f t="shared" ref="U511:U515" si="1220">L511</f>
        <v>0.22249944444444444</v>
      </c>
      <c r="V511" s="33">
        <f t="shared" ref="V511:V515" si="1221">T511*H511%</f>
        <v>2.5568333333333335</v>
      </c>
      <c r="W511" s="33">
        <f t="shared" ref="W511:W515" si="1222">T511*I511%</f>
        <v>0</v>
      </c>
      <c r="X511" s="33"/>
      <c r="Y511" s="33"/>
      <c r="Z511" s="33"/>
      <c r="AA511" s="33"/>
    </row>
    <row r="512" spans="1:27" x14ac:dyDescent="0.25">
      <c r="A512" s="82">
        <f>'NELIOTA (p&lt;0.5)'!A564</f>
        <v>45148</v>
      </c>
      <c r="B512" s="58" t="str">
        <f>'NELIOTA (p&lt;0.5)'!B564</f>
        <v>03:00-06:15</v>
      </c>
      <c r="C512" s="59">
        <f>'NELIOTA (p&lt;0.5)'!C564</f>
        <v>0.33900000000000002</v>
      </c>
      <c r="D512" s="120">
        <f>'NELIOTA (p&lt;0.5)'!D564</f>
        <v>85</v>
      </c>
      <c r="E512" s="120" t="str">
        <f>'NELIOTA (p&lt;0.5)'!F564</f>
        <v>very good</v>
      </c>
      <c r="F512" s="58"/>
      <c r="G512" s="8">
        <f>'NELIOTA (p&lt;0.5)'!H564</f>
        <v>85</v>
      </c>
      <c r="H512" s="8">
        <f>'NELIOTA (p&lt;0.5)'!I564</f>
        <v>15</v>
      </c>
      <c r="I512" s="8">
        <f>'NELIOTA (p&lt;0.5)'!J564</f>
        <v>0</v>
      </c>
      <c r="J512" s="82"/>
      <c r="K512" s="102">
        <f>'NELIOTA (p&lt;0.5)'!M564</f>
        <v>7219.3549999999996</v>
      </c>
      <c r="L512" s="93">
        <f t="shared" si="1215"/>
        <v>2.0053763888888887</v>
      </c>
      <c r="N512" s="11">
        <v>3</v>
      </c>
      <c r="O512" s="11">
        <v>15</v>
      </c>
      <c r="P512" s="9">
        <f t="shared" si="1216"/>
        <v>3.25</v>
      </c>
      <c r="Q512" s="9">
        <f>P512*72.6%</f>
        <v>2.3594999999999997</v>
      </c>
      <c r="R512" s="9">
        <f t="shared" si="1217"/>
        <v>2.3594999999999997</v>
      </c>
      <c r="S512" s="9">
        <f t="shared" si="1218"/>
        <v>84.991582491582491</v>
      </c>
      <c r="T512" s="9">
        <f t="shared" si="1219"/>
        <v>2.3594999999999997</v>
      </c>
      <c r="U512" s="9">
        <f t="shared" si="1220"/>
        <v>2.0053763888888887</v>
      </c>
      <c r="V512" s="9">
        <f t="shared" si="1221"/>
        <v>0.35392499999999993</v>
      </c>
      <c r="W512" s="9">
        <f t="shared" si="1222"/>
        <v>0</v>
      </c>
      <c r="X512" s="9"/>
      <c r="Y512" s="9"/>
      <c r="Z512" s="9"/>
      <c r="AA512" s="9"/>
    </row>
    <row r="513" spans="1:27" x14ac:dyDescent="0.25">
      <c r="A513" s="82">
        <f>'NELIOTA (p&lt;0.5)'!A565</f>
        <v>45149</v>
      </c>
      <c r="B513" s="58" t="str">
        <f>'NELIOTA (p&lt;0.5)'!B565</f>
        <v>03:45-06:15</v>
      </c>
      <c r="C513" s="59">
        <f>'NELIOTA (p&lt;0.5)'!C565</f>
        <v>0.245</v>
      </c>
      <c r="D513" s="120">
        <f>'NELIOTA (p&lt;0.5)'!D565</f>
        <v>100</v>
      </c>
      <c r="E513" s="120" t="str">
        <f>'NELIOTA (p&lt;0.5)'!F565</f>
        <v>very good</v>
      </c>
      <c r="F513" s="58"/>
      <c r="G513" s="8">
        <f>'NELIOTA (p&lt;0.5)'!H565</f>
        <v>100</v>
      </c>
      <c r="H513" s="8">
        <f>'NELIOTA (p&lt;0.5)'!I565</f>
        <v>0</v>
      </c>
      <c r="I513" s="8">
        <f>'NELIOTA (p&lt;0.5)'!J565</f>
        <v>0</v>
      </c>
      <c r="J513" s="82"/>
      <c r="K513" s="102">
        <f>'NELIOTA (p&lt;0.5)'!M565</f>
        <v>5804.4409999999998</v>
      </c>
      <c r="L513" s="93">
        <f t="shared" si="1215"/>
        <v>1.6123447222222222</v>
      </c>
      <c r="N513" s="11">
        <v>2</v>
      </c>
      <c r="O513" s="11">
        <v>30</v>
      </c>
      <c r="P513" s="9">
        <f t="shared" si="1216"/>
        <v>2.5</v>
      </c>
      <c r="Q513" s="9">
        <f>P513*64.5%</f>
        <v>1.6125</v>
      </c>
      <c r="R513" s="9">
        <f t="shared" si="1217"/>
        <v>1.6123447222222222</v>
      </c>
      <c r="S513" s="9">
        <f t="shared" si="1218"/>
        <v>99.990370370370371</v>
      </c>
      <c r="T513" s="9">
        <f t="shared" si="1219"/>
        <v>1.6123447222222222</v>
      </c>
      <c r="U513" s="9">
        <f t="shared" si="1220"/>
        <v>1.6123447222222222</v>
      </c>
      <c r="V513" s="9">
        <f t="shared" si="1221"/>
        <v>0</v>
      </c>
      <c r="W513" s="9">
        <f t="shared" si="1222"/>
        <v>0</v>
      </c>
      <c r="X513" s="9"/>
      <c r="Y513" s="9"/>
      <c r="Z513" s="9"/>
      <c r="AA513" s="9"/>
    </row>
    <row r="514" spans="1:27" x14ac:dyDescent="0.25">
      <c r="A514" s="82">
        <f>'NELIOTA (p&lt;0.5)'!A566</f>
        <v>45150</v>
      </c>
      <c r="B514" s="58" t="str">
        <f>'NELIOTA (p&lt;0.5)'!B566</f>
        <v>04:35-06:15</v>
      </c>
      <c r="C514" s="59">
        <f>'NELIOTA (p&lt;0.5)'!C566</f>
        <v>0.16400000000000001</v>
      </c>
      <c r="D514" s="120">
        <f>'NELIOTA (p&lt;0.5)'!D566</f>
        <v>100</v>
      </c>
      <c r="E514" s="120" t="str">
        <f>'NELIOTA (p&lt;0.5)'!F566</f>
        <v>very good</v>
      </c>
      <c r="F514" s="58"/>
      <c r="G514" s="8">
        <f>'NELIOTA (p&lt;0.5)'!H566</f>
        <v>100</v>
      </c>
      <c r="H514" s="8">
        <f>'NELIOTA (p&lt;0.5)'!I566</f>
        <v>0</v>
      </c>
      <c r="I514" s="8">
        <f>'NELIOTA (p&lt;0.5)'!J566</f>
        <v>0</v>
      </c>
      <c r="J514" s="82"/>
      <c r="K514" s="102">
        <f>'NELIOTA (p&lt;0.5)'!M566</f>
        <v>3565.759</v>
      </c>
      <c r="L514" s="93">
        <f t="shared" si="1215"/>
        <v>0.99048861111111108</v>
      </c>
      <c r="N514" s="11">
        <v>1</v>
      </c>
      <c r="O514" s="11">
        <v>40</v>
      </c>
      <c r="P514" s="9">
        <f t="shared" si="1216"/>
        <v>1.6666666666666665</v>
      </c>
      <c r="Q514" s="9">
        <f t="shared" ref="Q514:Q515" si="1223">P514*72.4%</f>
        <v>1.2066666666666668</v>
      </c>
      <c r="R514" s="9">
        <f t="shared" si="1217"/>
        <v>0.99048861111111108</v>
      </c>
      <c r="S514" s="9">
        <f t="shared" si="1218"/>
        <v>82.084691528545108</v>
      </c>
      <c r="T514" s="9">
        <f t="shared" si="1219"/>
        <v>0.99048861111111108</v>
      </c>
      <c r="U514" s="9">
        <f t="shared" si="1220"/>
        <v>0.99048861111111108</v>
      </c>
      <c r="V514" s="9">
        <f t="shared" si="1221"/>
        <v>0</v>
      </c>
      <c r="W514" s="9">
        <f t="shared" si="1222"/>
        <v>0</v>
      </c>
      <c r="X514" s="9"/>
      <c r="Y514" s="9"/>
      <c r="Z514" s="9"/>
      <c r="AA514" s="9"/>
    </row>
    <row r="515" spans="1:27" x14ac:dyDescent="0.25">
      <c r="A515" s="82">
        <f>'NELIOTA (p&lt;0.5)'!A567</f>
        <v>45151</v>
      </c>
      <c r="B515" s="58" t="str">
        <f>'NELIOTA (p&lt;0.5)'!B567</f>
        <v>05:30-06:15</v>
      </c>
      <c r="C515" s="59">
        <f>'NELIOTA (p&lt;0.5)'!C567</f>
        <v>9.6000000000000002E-2</v>
      </c>
      <c r="D515" s="120">
        <f>'NELIOTA (p&lt;0.5)'!D567</f>
        <v>100</v>
      </c>
      <c r="E515" s="120" t="str">
        <f>'NELIOTA (p&lt;0.5)'!F567</f>
        <v>very good</v>
      </c>
      <c r="F515" s="58"/>
      <c r="G515" s="8">
        <f>'NELIOTA (p&lt;0.5)'!H567</f>
        <v>100</v>
      </c>
      <c r="H515" s="8">
        <f>'NELIOTA (p&lt;0.5)'!I567</f>
        <v>0</v>
      </c>
      <c r="I515" s="8">
        <f>'NELIOTA (p&lt;0.5)'!J567</f>
        <v>0</v>
      </c>
      <c r="J515" s="82"/>
      <c r="K515" s="102">
        <f>'NELIOTA (p&lt;0.5)'!M567</f>
        <v>1952.539</v>
      </c>
      <c r="L515" s="93">
        <f t="shared" si="1215"/>
        <v>0.54237194444444448</v>
      </c>
      <c r="N515" s="11">
        <v>0</v>
      </c>
      <c r="O515" s="11">
        <v>45</v>
      </c>
      <c r="P515" s="9">
        <f t="shared" si="1216"/>
        <v>0.75</v>
      </c>
      <c r="Q515" s="9">
        <f t="shared" si="1223"/>
        <v>0.54300000000000004</v>
      </c>
      <c r="R515" s="9">
        <f t="shared" si="1217"/>
        <v>0.54237194444444448</v>
      </c>
      <c r="S515" s="9">
        <f t="shared" si="1218"/>
        <v>99.884335993452012</v>
      </c>
      <c r="T515" s="9">
        <f t="shared" si="1219"/>
        <v>0.54237194444444448</v>
      </c>
      <c r="U515" s="9">
        <f t="shared" si="1220"/>
        <v>0.54237194444444448</v>
      </c>
      <c r="V515" s="9">
        <f t="shared" si="1221"/>
        <v>0</v>
      </c>
      <c r="W515" s="9">
        <f t="shared" si="1222"/>
        <v>0</v>
      </c>
      <c r="X515" s="9">
        <f>SUM(U511:U515)</f>
        <v>5.3730811111111114</v>
      </c>
      <c r="Y515" s="9">
        <f>100*X515/SUM(T511:T515)</f>
        <v>64.861952805952697</v>
      </c>
      <c r="Z515" s="9">
        <f>100*SUM(V511:V515)/SUM(T511:T515)</f>
        <v>35.137654865433127</v>
      </c>
      <c r="AA515" s="9">
        <f>100*SUM(W511:W515)/SUM(T511:T515)</f>
        <v>0</v>
      </c>
    </row>
    <row r="516" spans="1:27" x14ac:dyDescent="0.25">
      <c r="A516" s="82"/>
      <c r="B516" s="58"/>
      <c r="C516" s="59"/>
      <c r="D516" s="120"/>
      <c r="E516" s="120"/>
      <c r="F516" s="58"/>
      <c r="G516" s="8"/>
      <c r="H516" s="8"/>
      <c r="I516" s="8"/>
      <c r="J516" s="82"/>
      <c r="K516" s="102"/>
      <c r="L516" s="93"/>
      <c r="N516" s="11"/>
      <c r="O516" s="11"/>
      <c r="P516" s="9"/>
      <c r="Q516" s="9"/>
      <c r="R516" s="9"/>
      <c r="S516" s="9"/>
      <c r="T516" s="9"/>
      <c r="U516" s="9"/>
      <c r="V516" s="9"/>
      <c r="W516" s="9"/>
      <c r="X516" s="9"/>
      <c r="Y516" s="9"/>
      <c r="Z516" s="9"/>
      <c r="AA516" s="9"/>
    </row>
    <row r="517" spans="1:27" x14ac:dyDescent="0.25">
      <c r="A517" s="82"/>
      <c r="B517" s="58"/>
      <c r="C517" s="59"/>
      <c r="D517" s="120"/>
      <c r="E517" s="120"/>
      <c r="F517" s="58"/>
      <c r="G517" s="8"/>
      <c r="H517" s="8"/>
      <c r="I517" s="8"/>
      <c r="J517" s="82"/>
      <c r="K517" s="102"/>
      <c r="L517" s="93"/>
      <c r="N517" s="11"/>
      <c r="O517" s="11"/>
      <c r="P517" s="9"/>
      <c r="Q517" s="9"/>
      <c r="R517" s="9"/>
      <c r="S517" s="9"/>
      <c r="T517" s="9"/>
      <c r="U517" s="9"/>
      <c r="V517" s="9"/>
      <c r="W517" s="9"/>
      <c r="X517" s="9"/>
      <c r="Y517" s="9"/>
      <c r="Z517" s="9"/>
      <c r="AA517" s="9"/>
    </row>
    <row r="518" spans="1:27" x14ac:dyDescent="0.25">
      <c r="C518" s="171"/>
      <c r="D518" s="30"/>
      <c r="E518" s="30"/>
      <c r="K518" s="10"/>
      <c r="L518" s="10"/>
      <c r="S518" s="31"/>
      <c r="T518" s="31"/>
      <c r="U518" s="31"/>
      <c r="V518" s="31"/>
      <c r="W518" s="31"/>
    </row>
    <row r="519" spans="1:27" ht="18.75" x14ac:dyDescent="0.25">
      <c r="C519" s="171"/>
      <c r="D519" s="30"/>
      <c r="E519" s="30"/>
      <c r="K519" s="10"/>
      <c r="L519" s="10"/>
      <c r="O519" s="115" t="s">
        <v>857</v>
      </c>
      <c r="S519" s="31"/>
      <c r="T519" s="31"/>
      <c r="U519" s="31"/>
      <c r="V519" s="31"/>
      <c r="W519" s="31"/>
    </row>
    <row r="520" spans="1:27" x14ac:dyDescent="0.25">
      <c r="C520" s="171"/>
      <c r="D520" s="30"/>
      <c r="E520" s="30"/>
      <c r="K520" s="10"/>
      <c r="L520" s="10"/>
      <c r="S520" s="31"/>
      <c r="T520" s="31"/>
      <c r="U520" s="31"/>
      <c r="V520" s="31"/>
      <c r="W520" s="31"/>
      <c r="Y520" s="31"/>
      <c r="Z520" s="31"/>
    </row>
    <row r="521" spans="1:27" x14ac:dyDescent="0.25">
      <c r="C521" s="171"/>
      <c r="D521" s="30"/>
      <c r="E521" s="30"/>
      <c r="S521" s="31"/>
      <c r="T521" s="31"/>
      <c r="U521" s="31"/>
      <c r="V521" s="31"/>
      <c r="W521" s="31"/>
    </row>
    <row r="522" spans="1:27" x14ac:dyDescent="0.25">
      <c r="C522" s="171"/>
      <c r="D522" s="30"/>
      <c r="E522" s="30"/>
      <c r="G522" s="31"/>
      <c r="S522" s="31"/>
      <c r="T522" s="31"/>
      <c r="U522" s="31"/>
      <c r="V522" s="31"/>
      <c r="W522" s="31"/>
    </row>
    <row r="523" spans="1:27" x14ac:dyDescent="0.25">
      <c r="C523" s="171"/>
      <c r="D523" s="30"/>
      <c r="E523" s="30"/>
      <c r="S523" s="31"/>
      <c r="T523" s="31"/>
      <c r="U523" s="31"/>
      <c r="V523" s="31"/>
      <c r="W523" s="31"/>
    </row>
    <row r="524" spans="1:27" x14ac:dyDescent="0.25">
      <c r="C524" s="171"/>
      <c r="D524" s="30"/>
      <c r="E524" s="30"/>
      <c r="S524" s="31"/>
      <c r="T524" s="31"/>
      <c r="U524" s="31"/>
      <c r="V524" s="31"/>
      <c r="W524" s="31"/>
    </row>
    <row r="525" spans="1:27" x14ac:dyDescent="0.25">
      <c r="C525" s="171"/>
      <c r="D525" s="30"/>
      <c r="E525" s="30"/>
      <c r="S525" s="31"/>
      <c r="T525" s="31"/>
      <c r="U525" s="31"/>
      <c r="V525" s="31"/>
      <c r="W525" s="31"/>
    </row>
    <row r="526" spans="1:27" x14ac:dyDescent="0.25">
      <c r="C526" s="171"/>
      <c r="D526" s="30"/>
      <c r="E526" s="30"/>
      <c r="Q526" s="31">
        <f>SUM(P204:P515)</f>
        <v>678.59263333333342</v>
      </c>
      <c r="S526" s="31"/>
      <c r="T526" s="31"/>
      <c r="U526" s="31"/>
      <c r="V526" s="31"/>
      <c r="W526" s="31"/>
    </row>
    <row r="527" spans="1:27" x14ac:dyDescent="0.25">
      <c r="C527" s="171"/>
      <c r="D527" s="30"/>
      <c r="E527" s="30"/>
      <c r="S527" s="31"/>
      <c r="T527" s="31"/>
      <c r="U527" s="31"/>
      <c r="V527" s="31"/>
      <c r="W527" s="31"/>
    </row>
    <row r="528" spans="1:27" x14ac:dyDescent="0.25">
      <c r="C528" s="171"/>
      <c r="D528" s="30"/>
      <c r="E528" s="30"/>
      <c r="S528" s="31"/>
      <c r="T528" s="31"/>
      <c r="U528" s="31"/>
      <c r="V528" s="31"/>
      <c r="W528" s="31"/>
    </row>
    <row r="529" spans="3:23" x14ac:dyDescent="0.25">
      <c r="C529" s="171"/>
      <c r="D529" s="30"/>
      <c r="E529" s="30"/>
      <c r="S529" s="31"/>
      <c r="T529" s="31"/>
      <c r="U529" s="31"/>
      <c r="V529" s="31"/>
      <c r="W529" s="31"/>
    </row>
    <row r="530" spans="3:23" x14ac:dyDescent="0.25">
      <c r="C530" s="171"/>
      <c r="D530" s="30"/>
      <c r="E530" s="30"/>
      <c r="S530" s="31"/>
      <c r="T530" s="31"/>
      <c r="U530" s="31"/>
      <c r="V530" s="31"/>
      <c r="W530" s="31"/>
    </row>
    <row r="531" spans="3:23" x14ac:dyDescent="0.25">
      <c r="C531" s="171"/>
      <c r="D531" s="30"/>
      <c r="E531" s="30"/>
      <c r="S531" s="31"/>
      <c r="T531" s="31"/>
      <c r="U531" s="31"/>
      <c r="V531" s="31"/>
      <c r="W531" s="31"/>
    </row>
    <row r="532" spans="3:23" x14ac:dyDescent="0.25">
      <c r="C532" s="171"/>
      <c r="S532" s="31"/>
      <c r="T532" s="31"/>
      <c r="U532" s="31"/>
      <c r="V532" s="31"/>
      <c r="W532" s="31"/>
    </row>
    <row r="533" spans="3:23" x14ac:dyDescent="0.25">
      <c r="C533" s="171"/>
      <c r="S533" s="31"/>
      <c r="T533" s="31"/>
      <c r="U533" s="31"/>
      <c r="V533" s="31"/>
      <c r="W533" s="31"/>
    </row>
    <row r="534" spans="3:23" x14ac:dyDescent="0.25">
      <c r="S534" s="31"/>
      <c r="T534" s="31"/>
      <c r="U534" s="31"/>
      <c r="V534" s="31"/>
      <c r="W534" s="31"/>
    </row>
    <row r="535" spans="3:23" x14ac:dyDescent="0.25">
      <c r="S535" s="31"/>
      <c r="T535" s="31"/>
      <c r="U535" s="31"/>
      <c r="V535" s="31"/>
      <c r="W535" s="31"/>
    </row>
    <row r="536" spans="3:23" x14ac:dyDescent="0.25">
      <c r="S536" s="31"/>
      <c r="T536" s="31"/>
      <c r="U536" s="31"/>
      <c r="V536" s="31"/>
      <c r="W536" s="31"/>
    </row>
    <row r="537" spans="3:23" x14ac:dyDescent="0.25">
      <c r="S537" s="31"/>
      <c r="T537" s="31"/>
      <c r="U537" s="31"/>
      <c r="V537" s="31"/>
      <c r="W537" s="31"/>
    </row>
    <row r="538" spans="3:23" x14ac:dyDescent="0.25">
      <c r="S538" s="31"/>
      <c r="T538" s="31"/>
      <c r="U538" s="31"/>
      <c r="V538" s="31"/>
      <c r="W538" s="31"/>
    </row>
    <row r="539" spans="3:23" x14ac:dyDescent="0.25">
      <c r="S539" s="31"/>
      <c r="T539" s="31"/>
      <c r="U539" s="31"/>
      <c r="V539" s="31"/>
      <c r="W539" s="31"/>
    </row>
    <row r="540" spans="3:23" x14ac:dyDescent="0.25">
      <c r="S540" s="31"/>
      <c r="T540" s="31"/>
      <c r="U540" s="31"/>
      <c r="V540" s="31"/>
      <c r="W540" s="31"/>
    </row>
    <row r="541" spans="3:23" x14ac:dyDescent="0.25">
      <c r="S541" s="31"/>
      <c r="T541" s="31"/>
      <c r="U541" s="31"/>
      <c r="V541" s="31"/>
      <c r="W541" s="31"/>
    </row>
    <row r="542" spans="3:23" x14ac:dyDescent="0.25">
      <c r="S542" s="31"/>
      <c r="T542" s="31"/>
      <c r="U542" s="31"/>
      <c r="V542" s="31"/>
      <c r="W542" s="31"/>
    </row>
    <row r="543" spans="3:23" x14ac:dyDescent="0.25">
      <c r="S543" s="31"/>
      <c r="T543" s="31"/>
      <c r="U543" s="31"/>
      <c r="V543" s="31"/>
      <c r="W543" s="31"/>
    </row>
    <row r="544" spans="3:23" x14ac:dyDescent="0.25">
      <c r="S544" s="31"/>
      <c r="T544" s="31"/>
      <c r="U544" s="31"/>
      <c r="V544" s="31"/>
      <c r="W544" s="31"/>
    </row>
  </sheetData>
  <mergeCells count="1">
    <mergeCell ref="N1:P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L83"/>
  <sheetViews>
    <sheetView tabSelected="1" zoomScale="80" zoomScaleNormal="80" workbookViewId="0">
      <pane ySplit="37" topLeftCell="A76" activePane="bottomLeft" state="frozen"/>
      <selection pane="bottomLeft" activeCell="U80" sqref="U80"/>
    </sheetView>
  </sheetViews>
  <sheetFormatPr defaultRowHeight="15" x14ac:dyDescent="0.25"/>
  <cols>
    <col min="1" max="1" width="10.85546875" customWidth="1"/>
    <col min="2" max="2" width="21.28515625" customWidth="1"/>
    <col min="3" max="3" width="16.28515625" customWidth="1"/>
    <col min="4" max="4" width="11.140625" customWidth="1"/>
    <col min="5" max="5" width="9.85546875" customWidth="1"/>
    <col min="6" max="6" width="7.28515625" style="3" customWidth="1"/>
    <col min="7" max="7" width="4.85546875" style="7" customWidth="1"/>
    <col min="8" max="8" width="5.5703125" style="7" customWidth="1"/>
    <col min="9" max="9" width="23" customWidth="1"/>
    <col min="11" max="11" width="25.85546875" bestFit="1" customWidth="1"/>
    <col min="12" max="12" width="13.42578125" bestFit="1" customWidth="1"/>
    <col min="14" max="14" width="12.28515625" bestFit="1" customWidth="1"/>
    <col min="16" max="16" width="26.42578125" bestFit="1" customWidth="1"/>
    <col min="20" max="20" width="14.85546875" bestFit="1" customWidth="1"/>
    <col min="21" max="21" width="17.85546875" style="5" customWidth="1"/>
    <col min="22" max="22" width="13.5703125" style="3" customWidth="1"/>
    <col min="23" max="23" width="12.28515625" style="3" customWidth="1"/>
    <col min="24" max="24" width="9.140625" style="3" customWidth="1"/>
    <col min="25" max="25" width="11.42578125" customWidth="1"/>
    <col min="26" max="26" width="14.7109375" style="6" customWidth="1"/>
    <col min="27" max="27" width="13" customWidth="1"/>
    <col min="28" max="28" width="22.42578125" bestFit="1" customWidth="1"/>
    <col min="29" max="29" width="11.85546875" customWidth="1"/>
    <col min="35" max="35" width="12.42578125" customWidth="1"/>
    <col min="38" max="38" width="24.28515625" bestFit="1" customWidth="1"/>
  </cols>
  <sheetData>
    <row r="1" spans="1:27" x14ac:dyDescent="0.25">
      <c r="B1" s="3" t="s">
        <v>453</v>
      </c>
      <c r="C1" s="3" t="s">
        <v>454</v>
      </c>
      <c r="D1" s="3" t="s">
        <v>449</v>
      </c>
      <c r="E1" s="3" t="s">
        <v>450</v>
      </c>
      <c r="G1" s="7" t="s">
        <v>538</v>
      </c>
      <c r="H1" s="7" t="s">
        <v>539</v>
      </c>
      <c r="U1" s="5" t="s">
        <v>522</v>
      </c>
      <c r="V1" s="3" t="s">
        <v>520</v>
      </c>
      <c r="W1" s="3" t="s">
        <v>517</v>
      </c>
      <c r="X1" s="3" t="s">
        <v>518</v>
      </c>
      <c r="Z1" s="6" t="s">
        <v>537</v>
      </c>
      <c r="AA1" s="3" t="s">
        <v>442</v>
      </c>
    </row>
    <row r="2" spans="1:27" x14ac:dyDescent="0.25">
      <c r="A2" s="4" t="s">
        <v>55</v>
      </c>
      <c r="B2" s="5">
        <v>2.9391666666666669</v>
      </c>
      <c r="C2" s="5">
        <f>29.9119687452295+0.7</f>
        <v>30.6119687452295</v>
      </c>
      <c r="D2" s="5">
        <v>69.389389887430823</v>
      </c>
      <c r="E2" s="5">
        <v>0</v>
      </c>
      <c r="F2" s="5">
        <f>SUM(C2:E2)</f>
        <v>100.00135863266033</v>
      </c>
      <c r="G2" s="7">
        <v>1</v>
      </c>
      <c r="U2" s="5">
        <f t="shared" ref="U2:U13" si="0">V2*100/C2</f>
        <v>9.6013643915819689</v>
      </c>
      <c r="V2" s="5">
        <f t="shared" ref="V2:V36" si="1">B2</f>
        <v>2.9391666666666669</v>
      </c>
      <c r="W2" s="5">
        <f t="shared" ref="W2:W36" si="2">U2*D2%</f>
        <v>6.6623281721877623</v>
      </c>
      <c r="X2" s="5">
        <f t="shared" ref="X2:X36" si="3">U2*E2%</f>
        <v>0</v>
      </c>
      <c r="Y2" t="s">
        <v>521</v>
      </c>
      <c r="Z2" s="104">
        <f>SUM(V2:V500)</f>
        <v>283.36125126728405</v>
      </c>
      <c r="AA2" s="105">
        <f>Z2/Z5%</f>
        <v>41.765330866944588</v>
      </c>
    </row>
    <row r="3" spans="1:27" x14ac:dyDescent="0.25">
      <c r="A3" s="1" t="s">
        <v>202</v>
      </c>
      <c r="B3" s="5">
        <v>6.8769444444444447</v>
      </c>
      <c r="C3" s="5">
        <v>77.828705799507063</v>
      </c>
      <c r="D3" s="5">
        <f>24.5405160706202-3.49</f>
        <v>21.050516070620198</v>
      </c>
      <c r="E3" s="5">
        <v>1.1181530104119513</v>
      </c>
      <c r="F3" s="5">
        <f t="shared" ref="F3:F42" si="4">SUM(C3:E3)</f>
        <v>99.997374880539198</v>
      </c>
      <c r="G3" s="7">
        <v>3</v>
      </c>
      <c r="U3" s="5">
        <f t="shared" si="0"/>
        <v>8.8360000000000003</v>
      </c>
      <c r="V3" s="5">
        <f t="shared" si="1"/>
        <v>6.8769444444444447</v>
      </c>
      <c r="W3" s="5">
        <f t="shared" si="2"/>
        <v>1.8600236000000008</v>
      </c>
      <c r="X3" s="5">
        <f t="shared" si="3"/>
        <v>9.8800000000000013E-2</v>
      </c>
      <c r="Y3" t="s">
        <v>53</v>
      </c>
      <c r="Z3" s="104">
        <f>SUM(W2:W500)</f>
        <v>353.26423556139213</v>
      </c>
      <c r="AA3" s="105">
        <f>Z3/Z5%</f>
        <v>52.068508364126018</v>
      </c>
    </row>
    <row r="4" spans="1:27" x14ac:dyDescent="0.25">
      <c r="A4" s="1" t="s">
        <v>205</v>
      </c>
      <c r="B4" s="5">
        <v>2.4422222222222221</v>
      </c>
      <c r="C4" s="5">
        <v>34.777105336023105</v>
      </c>
      <c r="D4" s="5">
        <f>66.4578141687433-1.23</f>
        <v>65.227814168743294</v>
      </c>
      <c r="E4" s="5">
        <v>0</v>
      </c>
      <c r="F4" s="5">
        <f t="shared" si="4"/>
        <v>100.00491950476641</v>
      </c>
      <c r="G4" s="7">
        <v>1</v>
      </c>
      <c r="U4" s="5">
        <f t="shared" si="0"/>
        <v>7.0224999999999982</v>
      </c>
      <c r="V4" s="5">
        <f t="shared" si="1"/>
        <v>2.4422222222222221</v>
      </c>
      <c r="W4" s="5">
        <f t="shared" si="2"/>
        <v>4.5806232499999968</v>
      </c>
      <c r="X4" s="5">
        <f t="shared" si="3"/>
        <v>0</v>
      </c>
      <c r="Y4" t="s">
        <v>54</v>
      </c>
      <c r="Z4" s="104">
        <f>SUM(X2:X500)</f>
        <v>41.837144139110777</v>
      </c>
      <c r="AA4" s="105">
        <f>Z4/Z5%</f>
        <v>6.1664823954698402</v>
      </c>
    </row>
    <row r="5" spans="1:27" x14ac:dyDescent="0.25">
      <c r="A5" s="1" t="s">
        <v>207</v>
      </c>
      <c r="B5" s="5">
        <v>5.2480555555555561</v>
      </c>
      <c r="C5" s="5">
        <f>59.6942773368384+2.63</f>
        <v>62.324277336838399</v>
      </c>
      <c r="D5" s="5">
        <v>33.64910772963956</v>
      </c>
      <c r="E5" s="5">
        <v>4.0220413528133063</v>
      </c>
      <c r="F5" s="5">
        <f t="shared" si="4"/>
        <v>99.995426419291263</v>
      </c>
      <c r="G5" s="7">
        <v>1</v>
      </c>
      <c r="H5" s="7">
        <v>2</v>
      </c>
      <c r="U5" s="5">
        <f t="shared" si="0"/>
        <v>8.4205638313170716</v>
      </c>
      <c r="V5" s="5">
        <f t="shared" si="1"/>
        <v>5.2480555555555561</v>
      </c>
      <c r="W5" s="5">
        <f t="shared" si="2"/>
        <v>2.8334445950429457</v>
      </c>
      <c r="X5" s="5">
        <f t="shared" si="3"/>
        <v>0.33867855943561309</v>
      </c>
      <c r="Y5" s="114" t="s">
        <v>519</v>
      </c>
      <c r="Z5" s="104">
        <f>SUM(U2:U500)</f>
        <v>678.46044885891695</v>
      </c>
    </row>
    <row r="6" spans="1:27" x14ac:dyDescent="0.25">
      <c r="A6" s="1" t="s">
        <v>213</v>
      </c>
      <c r="B6" s="5">
        <v>3.291666666666667</v>
      </c>
      <c r="C6" s="5">
        <f>74.4309331189388+0.41</f>
        <v>74.840933118938793</v>
      </c>
      <c r="D6" s="5">
        <v>25.162554645495195</v>
      </c>
      <c r="E6" s="5">
        <v>0</v>
      </c>
      <c r="F6" s="5">
        <f t="shared" si="4"/>
        <v>100.00348776443398</v>
      </c>
      <c r="G6" s="7">
        <v>2</v>
      </c>
      <c r="H6" s="7">
        <v>3</v>
      </c>
      <c r="U6" s="5">
        <f t="shared" si="0"/>
        <v>4.3982170310937745</v>
      </c>
      <c r="V6" s="5">
        <f t="shared" si="1"/>
        <v>3.291666666666667</v>
      </c>
      <c r="W6" s="5">
        <f t="shared" si="2"/>
        <v>1.1067037638764474</v>
      </c>
      <c r="X6" s="5">
        <f t="shared" si="3"/>
        <v>0</v>
      </c>
    </row>
    <row r="7" spans="1:27" x14ac:dyDescent="0.25">
      <c r="A7" s="1" t="s">
        <v>217</v>
      </c>
      <c r="B7" s="5">
        <v>3.0930555555555554</v>
      </c>
      <c r="C7" s="5">
        <f>67.0024309817797+2.7</f>
        <v>69.702430981779699</v>
      </c>
      <c r="D7" s="5">
        <v>29.287313163405297</v>
      </c>
      <c r="E7" s="5">
        <v>1.013791609502491</v>
      </c>
      <c r="F7" s="5">
        <f t="shared" si="4"/>
        <v>100.00353575468749</v>
      </c>
      <c r="G7" s="7">
        <v>5</v>
      </c>
      <c r="H7" s="7">
        <v>1</v>
      </c>
      <c r="U7" s="5">
        <f t="shared" si="0"/>
        <v>4.4375146060028863</v>
      </c>
      <c r="V7" s="5">
        <f t="shared" si="1"/>
        <v>3.0930555555555554</v>
      </c>
      <c r="W7" s="5">
        <f t="shared" si="2"/>
        <v>1.299628799331916</v>
      </c>
      <c r="X7" s="5">
        <f t="shared" si="3"/>
        <v>4.4987150746104786E-2</v>
      </c>
    </row>
    <row r="8" spans="1:27" x14ac:dyDescent="0.25">
      <c r="A8" s="1" t="s">
        <v>221</v>
      </c>
      <c r="B8" s="5">
        <v>5.2466666666666661</v>
      </c>
      <c r="C8" s="5">
        <f>94.6596102958864+1.78</f>
        <v>96.439610295886396</v>
      </c>
      <c r="D8" s="5">
        <v>3.5650709646379592</v>
      </c>
      <c r="E8" s="5">
        <v>0</v>
      </c>
      <c r="F8" s="5">
        <f t="shared" si="4"/>
        <v>100.00468126052435</v>
      </c>
      <c r="G8" s="7">
        <v>5</v>
      </c>
      <c r="H8" s="7">
        <v>1</v>
      </c>
      <c r="U8" s="5">
        <f t="shared" si="0"/>
        <v>5.4403648568978733</v>
      </c>
      <c r="V8" s="5">
        <f t="shared" si="1"/>
        <v>5.2466666666666661</v>
      </c>
      <c r="W8" s="5">
        <f t="shared" si="2"/>
        <v>0.19395286788363353</v>
      </c>
      <c r="X8" s="5">
        <f t="shared" si="3"/>
        <v>0</v>
      </c>
    </row>
    <row r="9" spans="1:27" x14ac:dyDescent="0.25">
      <c r="A9" s="1" t="s">
        <v>223</v>
      </c>
      <c r="B9" s="5">
        <v>5.8619444444444451</v>
      </c>
      <c r="C9" s="5">
        <f>81.7812604149712-2.53</f>
        <v>79.251260414971199</v>
      </c>
      <c r="D9" s="5">
        <v>18.136582416815902</v>
      </c>
      <c r="E9" s="5">
        <v>2.6116678680214847</v>
      </c>
      <c r="F9" s="5">
        <f t="shared" si="4"/>
        <v>99.999510699808582</v>
      </c>
      <c r="G9" s="7">
        <v>2</v>
      </c>
      <c r="U9" s="5">
        <f t="shared" si="0"/>
        <v>7.3966576856323112</v>
      </c>
      <c r="V9" s="5">
        <f t="shared" si="1"/>
        <v>5.8619444444444451</v>
      </c>
      <c r="W9" s="5">
        <f t="shared" si="2"/>
        <v>1.3415009172444519</v>
      </c>
      <c r="X9" s="5">
        <f t="shared" si="3"/>
        <v>0.19317613208320067</v>
      </c>
    </row>
    <row r="10" spans="1:27" x14ac:dyDescent="0.25">
      <c r="A10" s="1" t="s">
        <v>226</v>
      </c>
      <c r="B10" s="5">
        <v>6.3327777777777783</v>
      </c>
      <c r="C10" s="5">
        <f>63.9222547469242+0.91</f>
        <v>64.832254746924207</v>
      </c>
      <c r="D10" s="5">
        <v>26.558998687796507</v>
      </c>
      <c r="E10" s="5">
        <v>8.6080549106692246</v>
      </c>
      <c r="F10" s="5">
        <f t="shared" si="4"/>
        <v>99.999308345389935</v>
      </c>
      <c r="G10" s="7">
        <v>4</v>
      </c>
      <c r="U10" s="5">
        <f t="shared" si="0"/>
        <v>9.7679431364805644</v>
      </c>
      <c r="V10" s="5">
        <f t="shared" si="1"/>
        <v>6.3327777777777783</v>
      </c>
      <c r="W10" s="5">
        <f t="shared" si="2"/>
        <v>2.5942678894425821</v>
      </c>
      <c r="X10" s="5">
        <f t="shared" si="3"/>
        <v>0.84082990883119268</v>
      </c>
    </row>
    <row r="11" spans="1:27" x14ac:dyDescent="0.25">
      <c r="A11" s="1" t="s">
        <v>236</v>
      </c>
      <c r="B11" s="5">
        <v>2.9611111111111112</v>
      </c>
      <c r="C11" s="5">
        <f>26.9229992120098-2</f>
        <v>24.922999212009799</v>
      </c>
      <c r="D11" s="5">
        <f>77.7462671488897-2.67</f>
        <v>75.076267148889698</v>
      </c>
      <c r="E11" s="5">
        <v>0</v>
      </c>
      <c r="F11" s="5">
        <f t="shared" si="4"/>
        <v>99.999266360899497</v>
      </c>
      <c r="G11" s="7">
        <v>2</v>
      </c>
      <c r="U11" s="5">
        <f t="shared" si="0"/>
        <v>11.881038417255265</v>
      </c>
      <c r="V11" s="5">
        <f t="shared" si="1"/>
        <v>2.9611111111111112</v>
      </c>
      <c r="W11" s="5">
        <f t="shared" si="2"/>
        <v>8.9198401422007798</v>
      </c>
      <c r="X11" s="5">
        <f t="shared" si="3"/>
        <v>0</v>
      </c>
    </row>
    <row r="12" spans="1:27" x14ac:dyDescent="0.25">
      <c r="A12" s="1" t="s">
        <v>241</v>
      </c>
      <c r="B12" s="5">
        <v>6.8711111111111105</v>
      </c>
      <c r="C12" s="5">
        <f>47.935197566033+0.15</f>
        <v>48.085197566032996</v>
      </c>
      <c r="D12" s="5">
        <v>51.912330678448932</v>
      </c>
      <c r="E12" s="5">
        <v>0</v>
      </c>
      <c r="F12" s="5">
        <f t="shared" si="4"/>
        <v>99.997528244481927</v>
      </c>
      <c r="G12" s="7">
        <v>4</v>
      </c>
      <c r="H12" s="7">
        <v>9</v>
      </c>
      <c r="U12" s="5">
        <f t="shared" si="0"/>
        <v>14.2894517625208</v>
      </c>
      <c r="V12" s="5">
        <f t="shared" si="1"/>
        <v>6.8711111111111105</v>
      </c>
      <c r="W12" s="5">
        <f t="shared" si="2"/>
        <v>7.4179874510972477</v>
      </c>
      <c r="X12" s="5">
        <f t="shared" si="3"/>
        <v>0</v>
      </c>
    </row>
    <row r="13" spans="1:27" x14ac:dyDescent="0.25">
      <c r="A13" s="1" t="s">
        <v>250</v>
      </c>
      <c r="B13" s="5">
        <v>1.0736111111111111</v>
      </c>
      <c r="C13" s="5">
        <f>9.43534409100896+0.44</f>
        <v>9.8753440910089587</v>
      </c>
      <c r="D13" s="5">
        <v>90.119961916851793</v>
      </c>
      <c r="E13" s="5">
        <v>0</v>
      </c>
      <c r="F13" s="5">
        <f t="shared" si="4"/>
        <v>99.995306007860748</v>
      </c>
      <c r="G13" s="7">
        <v>1</v>
      </c>
      <c r="U13" s="5">
        <f t="shared" si="0"/>
        <v>10.871632433431703</v>
      </c>
      <c r="V13" s="5">
        <f t="shared" si="1"/>
        <v>1.0736111111111111</v>
      </c>
      <c r="W13" s="5">
        <f t="shared" si="2"/>
        <v>9.7975110087487582</v>
      </c>
      <c r="X13" s="5">
        <f t="shared" si="3"/>
        <v>0</v>
      </c>
    </row>
    <row r="14" spans="1:27" x14ac:dyDescent="0.25">
      <c r="A14" s="1" t="s">
        <v>254</v>
      </c>
      <c r="B14" s="5">
        <v>0</v>
      </c>
      <c r="C14" s="5">
        <v>0</v>
      </c>
      <c r="D14" s="5">
        <v>91.804123711340196</v>
      </c>
      <c r="E14" s="5">
        <v>8.1958762886597931</v>
      </c>
      <c r="F14" s="5">
        <f t="shared" si="4"/>
        <v>99.999999999999986</v>
      </c>
      <c r="G14" s="7">
        <v>0</v>
      </c>
      <c r="H14" s="7">
        <v>0</v>
      </c>
      <c r="U14" s="5">
        <v>10.09</v>
      </c>
      <c r="V14" s="5">
        <f t="shared" si="1"/>
        <v>0</v>
      </c>
      <c r="W14" s="5">
        <f t="shared" si="2"/>
        <v>9.2630360824742244</v>
      </c>
      <c r="X14" s="5">
        <f t="shared" si="3"/>
        <v>0.82696391752577303</v>
      </c>
    </row>
    <row r="15" spans="1:27" x14ac:dyDescent="0.25">
      <c r="A15" s="1" t="s">
        <v>257</v>
      </c>
      <c r="B15" s="5">
        <v>3.2744444444444443</v>
      </c>
      <c r="C15" s="5">
        <f>39.3636630780328-2.65</f>
        <v>36.713663078032802</v>
      </c>
      <c r="D15" s="5">
        <v>63.286832474020258</v>
      </c>
      <c r="E15" s="5">
        <v>0</v>
      </c>
      <c r="F15" s="5">
        <f t="shared" si="4"/>
        <v>100.00049555205305</v>
      </c>
      <c r="G15" s="7">
        <v>1</v>
      </c>
      <c r="H15" s="7">
        <v>1</v>
      </c>
      <c r="U15" s="5">
        <f t="shared" ref="U15:U24" si="5">V15*100/C15</f>
        <v>8.9188715315189295</v>
      </c>
      <c r="V15" s="5">
        <f t="shared" si="1"/>
        <v>3.2744444444444443</v>
      </c>
      <c r="W15" s="5">
        <f t="shared" si="2"/>
        <v>5.6444712847254701</v>
      </c>
      <c r="X15" s="5">
        <f t="shared" si="3"/>
        <v>0</v>
      </c>
    </row>
    <row r="16" spans="1:27" x14ac:dyDescent="0.25">
      <c r="A16" s="1" t="s">
        <v>260</v>
      </c>
      <c r="B16" s="5">
        <v>3.1177777777777775</v>
      </c>
      <c r="C16" s="5">
        <v>58.235098787979403</v>
      </c>
      <c r="D16" s="5">
        <v>41.764901212020575</v>
      </c>
      <c r="E16" s="5">
        <v>0</v>
      </c>
      <c r="F16" s="5">
        <f t="shared" si="4"/>
        <v>99.999999999999972</v>
      </c>
      <c r="G16" s="7">
        <v>1</v>
      </c>
      <c r="U16" s="5">
        <f t="shared" si="5"/>
        <v>5.3537777777777782</v>
      </c>
      <c r="V16" s="5">
        <f t="shared" si="1"/>
        <v>3.1177777777777775</v>
      </c>
      <c r="W16" s="5">
        <f t="shared" si="2"/>
        <v>2.2359999999999998</v>
      </c>
      <c r="X16" s="5">
        <f t="shared" si="3"/>
        <v>0</v>
      </c>
    </row>
    <row r="17" spans="1:26" x14ac:dyDescent="0.25">
      <c r="A17" s="1" t="s">
        <v>262</v>
      </c>
      <c r="B17" s="5">
        <v>2.6924999999999999</v>
      </c>
      <c r="C17" s="5">
        <v>41.752097727390201</v>
      </c>
      <c r="D17" s="5">
        <f>59.7508571822395-1.5</f>
        <v>58.2508571822395</v>
      </c>
      <c r="E17" s="5">
        <v>0</v>
      </c>
      <c r="F17" s="5">
        <f t="shared" si="4"/>
        <v>100.00295490962969</v>
      </c>
      <c r="G17" s="7">
        <v>0</v>
      </c>
      <c r="U17" s="5">
        <f t="shared" si="5"/>
        <v>6.4487777777777779</v>
      </c>
      <c r="V17" s="5">
        <f t="shared" si="1"/>
        <v>2.6924999999999999</v>
      </c>
      <c r="W17" s="5">
        <f t="shared" si="2"/>
        <v>3.7564683333333315</v>
      </c>
      <c r="X17" s="5">
        <f t="shared" si="3"/>
        <v>0</v>
      </c>
    </row>
    <row r="18" spans="1:26" x14ac:dyDescent="0.25">
      <c r="A18" s="1" t="s">
        <v>271</v>
      </c>
      <c r="B18" s="5">
        <v>2.6816666666666666</v>
      </c>
      <c r="C18" s="5">
        <f>63.6815789126506-5.36</f>
        <v>58.321578912650601</v>
      </c>
      <c r="D18" s="5">
        <v>41.676011556880702</v>
      </c>
      <c r="E18" s="5">
        <v>0</v>
      </c>
      <c r="F18" s="5">
        <f t="shared" si="4"/>
        <v>99.997590469531303</v>
      </c>
      <c r="G18" s="7">
        <v>4</v>
      </c>
      <c r="H18" s="7">
        <v>1</v>
      </c>
      <c r="U18" s="5">
        <f t="shared" si="5"/>
        <v>4.5980693881471435</v>
      </c>
      <c r="V18" s="5">
        <f t="shared" si="1"/>
        <v>2.6816666666666666</v>
      </c>
      <c r="W18" s="5">
        <f t="shared" si="2"/>
        <v>1.9162919295975973</v>
      </c>
      <c r="X18" s="5">
        <f t="shared" si="3"/>
        <v>0</v>
      </c>
    </row>
    <row r="19" spans="1:26" x14ac:dyDescent="0.25">
      <c r="A19" s="1" t="s">
        <v>275</v>
      </c>
      <c r="B19" s="5">
        <v>4.1065277777777771</v>
      </c>
      <c r="C19" s="5">
        <v>80.606642203235495</v>
      </c>
      <c r="D19" s="5">
        <v>19.393357796764505</v>
      </c>
      <c r="E19" s="5">
        <v>0</v>
      </c>
      <c r="F19" s="5">
        <f t="shared" si="4"/>
        <v>100</v>
      </c>
      <c r="G19" s="7">
        <v>1</v>
      </c>
      <c r="U19" s="5">
        <f t="shared" si="5"/>
        <v>5.0945277777777775</v>
      </c>
      <c r="V19" s="5">
        <f t="shared" si="1"/>
        <v>4.1065277777777771</v>
      </c>
      <c r="W19" s="5">
        <f t="shared" si="2"/>
        <v>0.9880000000000001</v>
      </c>
      <c r="X19" s="5">
        <f t="shared" si="3"/>
        <v>0</v>
      </c>
    </row>
    <row r="20" spans="1:26" x14ac:dyDescent="0.25">
      <c r="A20" s="1" t="s">
        <v>277</v>
      </c>
      <c r="B20" s="5">
        <v>4.9163888888888891</v>
      </c>
      <c r="C20" s="5">
        <f>87.8580292876644-2.22</f>
        <v>85.638029287664395</v>
      </c>
      <c r="D20" s="5">
        <v>14.357110945644079</v>
      </c>
      <c r="E20" s="5">
        <v>0</v>
      </c>
      <c r="F20" s="5">
        <f t="shared" si="4"/>
        <v>99.995140233308476</v>
      </c>
      <c r="G20" s="7">
        <v>11</v>
      </c>
      <c r="H20" s="7">
        <v>4</v>
      </c>
      <c r="U20" s="5">
        <f t="shared" si="5"/>
        <v>5.7408944715137942</v>
      </c>
      <c r="V20" s="5">
        <f t="shared" si="1"/>
        <v>4.9163888888888891</v>
      </c>
      <c r="W20" s="5">
        <f t="shared" si="2"/>
        <v>0.82422658854758279</v>
      </c>
      <c r="X20" s="5">
        <f t="shared" si="3"/>
        <v>0</v>
      </c>
    </row>
    <row r="21" spans="1:26" x14ac:dyDescent="0.25">
      <c r="A21" s="1" t="s">
        <v>286</v>
      </c>
      <c r="B21" s="5">
        <v>6.2589999999999995</v>
      </c>
      <c r="C21" s="5">
        <v>93.767790262172284</v>
      </c>
      <c r="D21" s="5">
        <v>6.2322097378277155</v>
      </c>
      <c r="E21" s="5">
        <v>0</v>
      </c>
      <c r="F21" s="5">
        <f t="shared" si="4"/>
        <v>100</v>
      </c>
      <c r="G21" s="7">
        <v>5</v>
      </c>
      <c r="U21" s="5">
        <f t="shared" si="5"/>
        <v>6.6749999999999998</v>
      </c>
      <c r="V21" s="5">
        <f t="shared" si="1"/>
        <v>6.2589999999999995</v>
      </c>
      <c r="W21" s="5">
        <f t="shared" si="2"/>
        <v>0.41599999999999998</v>
      </c>
      <c r="X21" s="5">
        <f t="shared" si="3"/>
        <v>0</v>
      </c>
    </row>
    <row r="22" spans="1:26" x14ac:dyDescent="0.25">
      <c r="A22" s="1" t="s">
        <v>431</v>
      </c>
      <c r="B22" s="5">
        <v>3.0911111111111111</v>
      </c>
      <c r="C22" s="5">
        <v>48.16940671289683</v>
      </c>
      <c r="D22" s="5">
        <f>47.5661636755578+4.26</f>
        <v>51.826163675557801</v>
      </c>
      <c r="E22" s="5">
        <v>0</v>
      </c>
      <c r="F22" s="5">
        <f t="shared" si="4"/>
        <v>99.995570388454638</v>
      </c>
      <c r="G22" s="7">
        <v>1</v>
      </c>
      <c r="H22" s="7">
        <v>1</v>
      </c>
      <c r="U22" s="5">
        <f t="shared" si="5"/>
        <v>6.4171666666666658</v>
      </c>
      <c r="V22" s="5">
        <f t="shared" si="1"/>
        <v>3.0911111111111111</v>
      </c>
      <c r="W22" s="5">
        <f t="shared" si="2"/>
        <v>3.3257713000000031</v>
      </c>
      <c r="X22" s="5">
        <f t="shared" si="3"/>
        <v>0</v>
      </c>
    </row>
    <row r="23" spans="1:26" x14ac:dyDescent="0.25">
      <c r="A23" s="1" t="s">
        <v>435</v>
      </c>
      <c r="B23" s="5">
        <v>3.6269444444444447</v>
      </c>
      <c r="C23" s="5">
        <v>31.140440836262858</v>
      </c>
      <c r="D23" s="5">
        <f>69.8717367765816-1.01</f>
        <v>68.861736776581594</v>
      </c>
      <c r="E23" s="5">
        <v>0</v>
      </c>
      <c r="F23" s="5">
        <f t="shared" si="4"/>
        <v>100.00217761284445</v>
      </c>
      <c r="H23" s="7">
        <v>3</v>
      </c>
      <c r="U23" s="5">
        <f t="shared" si="5"/>
        <v>11.647055555555557</v>
      </c>
      <c r="V23" s="5">
        <f t="shared" si="1"/>
        <v>3.6269444444444447</v>
      </c>
      <c r="W23" s="5">
        <f t="shared" si="2"/>
        <v>8.0203647388888903</v>
      </c>
      <c r="X23" s="5">
        <f t="shared" si="3"/>
        <v>0</v>
      </c>
    </row>
    <row r="24" spans="1:26" x14ac:dyDescent="0.25">
      <c r="A24" s="1" t="s">
        <v>457</v>
      </c>
      <c r="B24" s="5">
        <f>1.67608333333333+0.01</f>
        <v>1.68608333333333</v>
      </c>
      <c r="C24" s="5">
        <f>9.62160352085725-1.02</f>
        <v>8.6016035208572497</v>
      </c>
      <c r="D24" s="5">
        <v>91.402985074626883</v>
      </c>
      <c r="E24" s="5">
        <v>0</v>
      </c>
      <c r="F24" s="5">
        <f t="shared" si="4"/>
        <v>100.00458859548414</v>
      </c>
      <c r="H24" s="7">
        <v>2</v>
      </c>
      <c r="U24" s="5">
        <f t="shared" si="5"/>
        <v>19.601965252698513</v>
      </c>
      <c r="V24" s="5">
        <f t="shared" si="1"/>
        <v>1.68608333333333</v>
      </c>
      <c r="W24" s="5">
        <f t="shared" si="2"/>
        <v>17.916781374257571</v>
      </c>
      <c r="X24" s="5">
        <f t="shared" si="3"/>
        <v>0</v>
      </c>
      <c r="Y24" s="211" t="s">
        <v>525</v>
      </c>
      <c r="Z24" s="211"/>
    </row>
    <row r="25" spans="1:26" x14ac:dyDescent="0.25">
      <c r="A25" s="1" t="s">
        <v>465</v>
      </c>
      <c r="B25" s="5">
        <v>0</v>
      </c>
      <c r="C25" s="5">
        <v>0</v>
      </c>
      <c r="D25" s="5">
        <v>100</v>
      </c>
      <c r="E25" s="5">
        <v>0</v>
      </c>
      <c r="F25" s="5">
        <f t="shared" si="4"/>
        <v>100</v>
      </c>
      <c r="G25" s="7">
        <v>0</v>
      </c>
      <c r="H25" s="7">
        <v>0</v>
      </c>
      <c r="U25" s="5">
        <v>10.61</v>
      </c>
      <c r="V25" s="5">
        <f t="shared" si="1"/>
        <v>0</v>
      </c>
      <c r="W25" s="5">
        <f t="shared" si="2"/>
        <v>10.61</v>
      </c>
      <c r="X25" s="5">
        <f t="shared" si="3"/>
        <v>0</v>
      </c>
      <c r="Y25" s="210" t="s">
        <v>536</v>
      </c>
      <c r="Z25" s="210"/>
    </row>
    <row r="26" spans="1:26" x14ac:dyDescent="0.25">
      <c r="A26" s="1" t="s">
        <v>470</v>
      </c>
      <c r="B26" s="5">
        <v>2.7412777777777779</v>
      </c>
      <c r="C26" s="5">
        <f>31.8265962318672-1.71</f>
        <v>30.116596231867199</v>
      </c>
      <c r="D26" s="5">
        <v>69.881383153698792</v>
      </c>
      <c r="E26" s="5">
        <v>0</v>
      </c>
      <c r="F26" s="5">
        <f t="shared" si="4"/>
        <v>99.997979385565998</v>
      </c>
      <c r="G26" s="7">
        <v>2</v>
      </c>
      <c r="H26" s="7">
        <v>1</v>
      </c>
      <c r="U26" s="5">
        <f t="shared" ref="U26:U36" si="6">V26*100/C26</f>
        <v>9.1022164545844539</v>
      </c>
      <c r="V26" s="5">
        <f t="shared" si="1"/>
        <v>2.7412777777777779</v>
      </c>
      <c r="W26" s="5">
        <f t="shared" si="2"/>
        <v>6.3607547561071804</v>
      </c>
      <c r="X26" s="5">
        <f t="shared" si="3"/>
        <v>0</v>
      </c>
      <c r="Y26" s="109"/>
      <c r="Z26" s="110" t="s">
        <v>526</v>
      </c>
    </row>
    <row r="27" spans="1:26" x14ac:dyDescent="0.25">
      <c r="A27" s="1" t="s">
        <v>471</v>
      </c>
      <c r="B27" s="5">
        <v>2.8028383333333333</v>
      </c>
      <c r="C27" s="5">
        <v>30.89926872289865</v>
      </c>
      <c r="D27" s="5">
        <f>69.3876871064945-0.8</f>
        <v>68.587687106494499</v>
      </c>
      <c r="E27" s="5">
        <v>0.51593620617849523</v>
      </c>
      <c r="F27" s="5">
        <f t="shared" si="4"/>
        <v>100.00289203557165</v>
      </c>
      <c r="H27" s="7">
        <v>1</v>
      </c>
      <c r="U27" s="5">
        <f t="shared" si="6"/>
        <v>9.0708888888888897</v>
      </c>
      <c r="V27" s="5">
        <f t="shared" si="1"/>
        <v>2.8028383333333333</v>
      </c>
      <c r="W27" s="5">
        <f t="shared" si="2"/>
        <v>6.2215128888888875</v>
      </c>
      <c r="X27" s="5">
        <f t="shared" si="3"/>
        <v>4.6799999999999994E-2</v>
      </c>
      <c r="Y27" s="109" t="s">
        <v>521</v>
      </c>
      <c r="Z27" s="110">
        <f>SUM(V25:V38)/Z32%</f>
        <v>46.629637131753682</v>
      </c>
    </row>
    <row r="28" spans="1:26" x14ac:dyDescent="0.25">
      <c r="A28" s="1" t="s">
        <v>478</v>
      </c>
      <c r="B28" s="5">
        <v>1.7739722222222201</v>
      </c>
      <c r="C28" s="5">
        <v>28.281231422318321</v>
      </c>
      <c r="D28" s="5">
        <v>71.718768577681672</v>
      </c>
      <c r="E28" s="5">
        <v>0</v>
      </c>
      <c r="F28" s="5">
        <f t="shared" si="4"/>
        <v>100</v>
      </c>
      <c r="G28" s="7">
        <v>1</v>
      </c>
      <c r="U28" s="5">
        <f t="shared" si="6"/>
        <v>6.2726130829730353</v>
      </c>
      <c r="V28" s="5">
        <f t="shared" si="1"/>
        <v>1.7739722222222201</v>
      </c>
      <c r="W28" s="5">
        <f t="shared" si="2"/>
        <v>4.4986408607508146</v>
      </c>
      <c r="X28" s="5">
        <f t="shared" si="3"/>
        <v>0</v>
      </c>
      <c r="Y28" s="109" t="s">
        <v>53</v>
      </c>
      <c r="Z28" s="110">
        <f>SUM(W25:W38)/Z32%</f>
        <v>53.332371632401745</v>
      </c>
    </row>
    <row r="29" spans="1:26" x14ac:dyDescent="0.25">
      <c r="A29" s="1" t="s">
        <v>479</v>
      </c>
      <c r="B29" s="5">
        <v>1.8939888888888889</v>
      </c>
      <c r="C29" s="5">
        <v>33.899252247235708</v>
      </c>
      <c r="D29" s="5">
        <v>66.099999999999994</v>
      </c>
      <c r="E29" s="5">
        <v>0</v>
      </c>
      <c r="F29" s="5">
        <f t="shared" si="4"/>
        <v>99.999252247235702</v>
      </c>
      <c r="G29" s="7">
        <v>0</v>
      </c>
      <c r="H29" s="7">
        <v>0</v>
      </c>
      <c r="U29" s="5">
        <f t="shared" si="6"/>
        <v>5.5871111111111107</v>
      </c>
      <c r="V29" s="5">
        <f t="shared" si="1"/>
        <v>1.8939888888888889</v>
      </c>
      <c r="W29" s="5">
        <f t="shared" si="2"/>
        <v>3.6930804444444436</v>
      </c>
      <c r="X29" s="5">
        <f t="shared" si="3"/>
        <v>0</v>
      </c>
      <c r="Y29" s="109" t="s">
        <v>54</v>
      </c>
      <c r="Z29" s="110">
        <f>SUM(X25:X38)/Z32%</f>
        <v>3.7877635560268998E-2</v>
      </c>
    </row>
    <row r="30" spans="1:26" x14ac:dyDescent="0.25">
      <c r="A30" s="1" t="s">
        <v>480</v>
      </c>
      <c r="B30" s="5">
        <v>6.0676833333333322</v>
      </c>
      <c r="C30" s="5">
        <v>77.72</v>
      </c>
      <c r="D30" s="5">
        <v>22.283998938235673</v>
      </c>
      <c r="E30" s="5">
        <v>0</v>
      </c>
      <c r="F30" s="5">
        <f t="shared" si="4"/>
        <v>100.00399893823567</v>
      </c>
      <c r="G30" s="7">
        <v>4</v>
      </c>
      <c r="H30" s="7">
        <v>2</v>
      </c>
      <c r="U30" s="5">
        <f t="shared" si="6"/>
        <v>7.8071067078401084</v>
      </c>
      <c r="V30" s="5">
        <f t="shared" si="1"/>
        <v>6.0676833333333322</v>
      </c>
      <c r="W30" s="5">
        <f t="shared" si="2"/>
        <v>1.7397355758820157</v>
      </c>
      <c r="X30" s="5">
        <f t="shared" si="3"/>
        <v>0</v>
      </c>
      <c r="Y30" s="109"/>
      <c r="Z30" s="110"/>
    </row>
    <row r="31" spans="1:26" x14ac:dyDescent="0.25">
      <c r="A31" s="1" t="s">
        <v>485</v>
      </c>
      <c r="B31" s="5">
        <v>7.5049722222222233</v>
      </c>
      <c r="C31" s="5">
        <v>100</v>
      </c>
      <c r="D31" s="5">
        <v>0</v>
      </c>
      <c r="E31" s="5">
        <v>0</v>
      </c>
      <c r="F31" s="5">
        <f t="shared" si="4"/>
        <v>100</v>
      </c>
      <c r="G31" s="7">
        <v>17</v>
      </c>
      <c r="H31" s="7">
        <v>1</v>
      </c>
      <c r="U31" s="5">
        <f t="shared" si="6"/>
        <v>7.5049722222222242</v>
      </c>
      <c r="V31" s="5">
        <f t="shared" si="1"/>
        <v>7.5049722222222233</v>
      </c>
      <c r="W31" s="5">
        <f t="shared" si="2"/>
        <v>0</v>
      </c>
      <c r="X31" s="5">
        <f t="shared" si="3"/>
        <v>0</v>
      </c>
      <c r="Y31" s="210" t="s">
        <v>537</v>
      </c>
      <c r="Z31" s="210"/>
    </row>
    <row r="32" spans="1:26" x14ac:dyDescent="0.25">
      <c r="A32" s="1" t="s">
        <v>504</v>
      </c>
      <c r="B32" s="5">
        <v>5.994611388888889</v>
      </c>
      <c r="C32" s="5">
        <v>82.4077035314657</v>
      </c>
      <c r="D32" s="5">
        <v>17.59</v>
      </c>
      <c r="E32" s="5">
        <v>0</v>
      </c>
      <c r="F32" s="5">
        <f t="shared" si="4"/>
        <v>99.997703531465703</v>
      </c>
      <c r="G32" s="7">
        <v>5</v>
      </c>
      <c r="H32" s="7">
        <v>3</v>
      </c>
      <c r="U32" s="5">
        <f t="shared" si="6"/>
        <v>7.2743337479365247</v>
      </c>
      <c r="V32" s="5">
        <f t="shared" si="1"/>
        <v>5.994611388888889</v>
      </c>
      <c r="W32" s="5">
        <f t="shared" si="2"/>
        <v>1.2795553062620346</v>
      </c>
      <c r="X32" s="5">
        <f t="shared" si="3"/>
        <v>0</v>
      </c>
      <c r="Y32" s="109" t="s">
        <v>526</v>
      </c>
      <c r="Z32" s="110">
        <f>SUM(U25:U38)</f>
        <v>123.55575871554647</v>
      </c>
    </row>
    <row r="33" spans="1:38" x14ac:dyDescent="0.25">
      <c r="A33" s="1" t="s">
        <v>508</v>
      </c>
      <c r="B33" s="5">
        <v>7.63</v>
      </c>
      <c r="C33" s="5">
        <v>89.614684730335426</v>
      </c>
      <c r="D33" s="5">
        <f>12.1404351164142-1.76</f>
        <v>10.380435116414199</v>
      </c>
      <c r="E33" s="5">
        <v>0</v>
      </c>
      <c r="F33" s="5">
        <f t="shared" si="4"/>
        <v>99.995119846749631</v>
      </c>
      <c r="G33" s="7">
        <v>4</v>
      </c>
      <c r="H33" s="7">
        <v>1</v>
      </c>
      <c r="U33" s="5">
        <f t="shared" si="6"/>
        <v>8.5142295852067775</v>
      </c>
      <c r="V33" s="5">
        <f t="shared" si="1"/>
        <v>7.63</v>
      </c>
      <c r="W33" s="5">
        <f t="shared" si="2"/>
        <v>0.88381407775493137</v>
      </c>
      <c r="X33" s="5">
        <f t="shared" si="3"/>
        <v>0</v>
      </c>
      <c r="Y33" s="109" t="s">
        <v>527</v>
      </c>
      <c r="Z33" s="110">
        <f>SUM(V25:V38)</f>
        <v>57.61360194444444</v>
      </c>
    </row>
    <row r="34" spans="1:38" x14ac:dyDescent="0.25">
      <c r="A34" s="1" t="s">
        <v>512</v>
      </c>
      <c r="B34" s="5">
        <v>8.2480777777777785</v>
      </c>
      <c r="C34" s="5">
        <v>91.878180128151968</v>
      </c>
      <c r="D34" s="5">
        <f>8.37010348451074-0.25</f>
        <v>8.1201034845107394</v>
      </c>
      <c r="E34" s="5">
        <v>0</v>
      </c>
      <c r="F34" s="5">
        <f t="shared" si="4"/>
        <v>99.998283612662703</v>
      </c>
      <c r="G34" s="7">
        <v>2</v>
      </c>
      <c r="H34" s="7">
        <v>1</v>
      </c>
      <c r="U34" s="5">
        <f t="shared" si="6"/>
        <v>8.9771888888888896</v>
      </c>
      <c r="V34" s="5">
        <f t="shared" si="1"/>
        <v>8.2480777777777785</v>
      </c>
      <c r="W34" s="5">
        <f t="shared" si="2"/>
        <v>0.7289570277777776</v>
      </c>
      <c r="X34" s="5">
        <f t="shared" si="3"/>
        <v>0</v>
      </c>
      <c r="Y34" s="109" t="s">
        <v>528</v>
      </c>
      <c r="Z34" s="110">
        <f>SUM(W25:W38)</f>
        <v>65.895216411408853</v>
      </c>
    </row>
    <row r="35" spans="1:38" x14ac:dyDescent="0.25">
      <c r="A35" s="1" t="s">
        <v>515</v>
      </c>
      <c r="B35" s="5">
        <v>1.7697777777777777</v>
      </c>
      <c r="C35" s="5">
        <v>18.829999999999998</v>
      </c>
      <c r="D35" s="5">
        <v>81.174392935982354</v>
      </c>
      <c r="E35" s="5">
        <v>0</v>
      </c>
      <c r="F35" s="5">
        <f t="shared" si="4"/>
        <v>100.00439293598235</v>
      </c>
      <c r="G35" s="7">
        <v>2</v>
      </c>
      <c r="H35" s="7">
        <v>1</v>
      </c>
      <c r="U35" s="5">
        <f t="shared" si="6"/>
        <v>9.398713636631852</v>
      </c>
      <c r="V35" s="5">
        <f t="shared" si="1"/>
        <v>1.7697777777777777</v>
      </c>
      <c r="W35" s="5">
        <f t="shared" si="2"/>
        <v>7.6293487383272964</v>
      </c>
      <c r="X35" s="5">
        <f t="shared" si="3"/>
        <v>0</v>
      </c>
      <c r="Y35" s="109" t="s">
        <v>529</v>
      </c>
      <c r="Z35" s="110">
        <f>SUM(X25:X38)</f>
        <v>4.6799999999999994E-2</v>
      </c>
    </row>
    <row r="36" spans="1:38" x14ac:dyDescent="0.25">
      <c r="A36" s="1" t="s">
        <v>524</v>
      </c>
      <c r="B36" s="5">
        <v>3.4613972222222227</v>
      </c>
      <c r="C36" s="5">
        <v>28.721852254063421</v>
      </c>
      <c r="D36" s="5">
        <f>72.060096391165-0.78</f>
        <v>71.280096391165003</v>
      </c>
      <c r="E36" s="5">
        <v>0</v>
      </c>
      <c r="F36" s="5">
        <f t="shared" si="4"/>
        <v>100.00194864522842</v>
      </c>
      <c r="G36" s="7">
        <v>5</v>
      </c>
      <c r="K36" s="109" t="s">
        <v>548</v>
      </c>
      <c r="L36" s="109" t="s">
        <v>550</v>
      </c>
      <c r="U36" s="5">
        <f t="shared" si="6"/>
        <v>12.051441500373715</v>
      </c>
      <c r="V36" s="5">
        <f t="shared" si="1"/>
        <v>3.4613972222222227</v>
      </c>
      <c r="W36" s="5">
        <f t="shared" si="2"/>
        <v>8.5902791179912459</v>
      </c>
      <c r="X36" s="5">
        <f t="shared" si="3"/>
        <v>0</v>
      </c>
      <c r="Y36" s="105"/>
      <c r="AC36" s="5" t="s">
        <v>522</v>
      </c>
      <c r="AD36" s="3" t="s">
        <v>520</v>
      </c>
      <c r="AE36" s="3" t="s">
        <v>517</v>
      </c>
      <c r="AF36" s="3" t="s">
        <v>518</v>
      </c>
    </row>
    <row r="37" spans="1:38" x14ac:dyDescent="0.25">
      <c r="A37" s="1" t="s">
        <v>535</v>
      </c>
      <c r="B37" s="5">
        <v>4.6062161111111113</v>
      </c>
      <c r="C37" s="5">
        <v>32.203714711499202</v>
      </c>
      <c r="D37" s="5">
        <v>67.795000000000002</v>
      </c>
      <c r="E37" s="5">
        <v>0</v>
      </c>
      <c r="F37" s="5">
        <f t="shared" si="4"/>
        <v>99.998714711499204</v>
      </c>
      <c r="G37" s="7">
        <v>2</v>
      </c>
      <c r="H37" s="7">
        <v>3</v>
      </c>
      <c r="K37" s="121">
        <f>SUM(G2:G410)</f>
        <v>192</v>
      </c>
      <c r="L37" s="121">
        <f>SUM(H2:H410)</f>
        <v>103</v>
      </c>
      <c r="U37" s="5">
        <f t="shared" ref="U37" si="7">V37*100/C37</f>
        <v>14.303368888888889</v>
      </c>
      <c r="V37" s="5">
        <f t="shared" ref="V37" si="8">B37</f>
        <v>4.6062161111111113</v>
      </c>
      <c r="W37" s="5">
        <f t="shared" ref="W37" si="9">U37*D37%</f>
        <v>9.6969689382222235</v>
      </c>
      <c r="X37" s="5">
        <f t="shared" ref="X37" si="10">U37*E37%</f>
        <v>0</v>
      </c>
      <c r="AB37" s="1" t="s">
        <v>535</v>
      </c>
      <c r="AC37" s="6">
        <f>14.3033688888889-3.75</f>
        <v>10.553368888888899</v>
      </c>
      <c r="AD37" s="6">
        <v>4.6062161111111113</v>
      </c>
      <c r="AE37" s="6">
        <f>9.69696893822222-3.75</f>
        <v>5.9469689382222199</v>
      </c>
      <c r="AF37" s="6">
        <v>0</v>
      </c>
      <c r="AI37" s="211" t="s">
        <v>588</v>
      </c>
      <c r="AJ37" s="211"/>
    </row>
    <row r="38" spans="1:38" x14ac:dyDescent="0.25">
      <c r="A38" s="1" t="s">
        <v>542</v>
      </c>
      <c r="B38" s="5">
        <v>3.1187888888888891</v>
      </c>
      <c r="C38" s="5">
        <v>44.040899507494935</v>
      </c>
      <c r="D38" s="5">
        <f>56.1060442212423-0.15</f>
        <v>55.956044221242301</v>
      </c>
      <c r="E38" s="5">
        <v>0</v>
      </c>
      <c r="F38" s="5">
        <f t="shared" si="4"/>
        <v>99.996943728737236</v>
      </c>
      <c r="G38" s="7">
        <v>0</v>
      </c>
      <c r="H38" s="7">
        <v>0</v>
      </c>
      <c r="P38" s="6"/>
      <c r="U38" s="5">
        <f t="shared" ref="U38" si="11">V38*100/C38</f>
        <v>7.0815739999999998</v>
      </c>
      <c r="V38" s="5">
        <f t="shared" ref="V38" si="12">B38</f>
        <v>3.1187888888888891</v>
      </c>
      <c r="W38" s="5">
        <f t="shared" ref="W38" si="13">U38*D38%</f>
        <v>3.9625686789999968</v>
      </c>
      <c r="X38" s="5">
        <f t="shared" ref="X38" si="14">U38*E38%</f>
        <v>0</v>
      </c>
      <c r="AB38" s="1" t="s">
        <v>542</v>
      </c>
      <c r="AC38" s="6">
        <v>7.0815739999999998</v>
      </c>
      <c r="AD38" s="6">
        <v>3.1187888888888891</v>
      </c>
      <c r="AE38" s="6">
        <v>3.9625686789999968</v>
      </c>
      <c r="AF38" s="6">
        <v>0</v>
      </c>
      <c r="AI38" s="210" t="s">
        <v>536</v>
      </c>
      <c r="AJ38" s="210"/>
    </row>
    <row r="39" spans="1:38" x14ac:dyDescent="0.25">
      <c r="A39" s="1" t="s">
        <v>549</v>
      </c>
      <c r="B39" s="5">
        <v>5.1458250000000003</v>
      </c>
      <c r="C39" s="5">
        <v>58.306625550750638</v>
      </c>
      <c r="D39" s="5">
        <v>37.119899200664442</v>
      </c>
      <c r="E39" s="5">
        <v>4.5778852195155952</v>
      </c>
      <c r="F39" s="5">
        <f t="shared" si="4"/>
        <v>100.00440997093068</v>
      </c>
      <c r="G39" s="7">
        <v>5</v>
      </c>
      <c r="H39" s="7">
        <v>1</v>
      </c>
      <c r="I39" s="3"/>
      <c r="U39" s="5">
        <f t="shared" ref="U39" si="15">V39*100/C39</f>
        <v>8.8254549999999998</v>
      </c>
      <c r="V39" s="5">
        <f t="shared" ref="V39" si="16">B39</f>
        <v>5.1458250000000003</v>
      </c>
      <c r="W39" s="5">
        <f t="shared" ref="W39" si="17">U39*D39%</f>
        <v>3.2759999999999998</v>
      </c>
      <c r="X39" s="5">
        <f t="shared" ref="X39" si="18">U39*E39%</f>
        <v>0.40401920000000008</v>
      </c>
      <c r="AB39" s="1" t="s">
        <v>549</v>
      </c>
      <c r="AC39" s="6">
        <v>8.8254549999999998</v>
      </c>
      <c r="AD39" s="6">
        <v>5.1458250000000003</v>
      </c>
      <c r="AE39" s="6">
        <v>3.2759999999999998</v>
      </c>
      <c r="AF39" s="6">
        <v>0.40401920000000008</v>
      </c>
      <c r="AI39" s="109"/>
      <c r="AJ39" s="110" t="s">
        <v>526</v>
      </c>
    </row>
    <row r="40" spans="1:38" x14ac:dyDescent="0.25">
      <c r="A40" s="1" t="s">
        <v>553</v>
      </c>
      <c r="B40" s="5">
        <v>1.1620277777777779</v>
      </c>
      <c r="C40" s="5">
        <v>17.82524586252152</v>
      </c>
      <c r="D40" s="5">
        <v>79.307379966252498</v>
      </c>
      <c r="E40" s="5">
        <v>2.8716060745513112</v>
      </c>
      <c r="F40" s="5">
        <f t="shared" si="4"/>
        <v>100.00423190332533</v>
      </c>
      <c r="G40" s="7">
        <v>1</v>
      </c>
      <c r="I40" s="3"/>
      <c r="U40" s="5">
        <f t="shared" ref="U40" si="19">V40*100/C40</f>
        <v>6.5190000000000001</v>
      </c>
      <c r="V40" s="5">
        <f t="shared" ref="V40" si="20">B40</f>
        <v>1.1620277777777779</v>
      </c>
      <c r="W40" s="5">
        <f t="shared" ref="W40" si="21">U40*D40%</f>
        <v>5.1700481000000007</v>
      </c>
      <c r="X40" s="5">
        <f t="shared" ref="X40" si="22">U40*E40%</f>
        <v>0.18719999999999998</v>
      </c>
      <c r="AB40" s="1" t="s">
        <v>553</v>
      </c>
      <c r="AC40" s="6">
        <v>6.5190000000000001</v>
      </c>
      <c r="AD40" s="6">
        <v>1.1620277777777779</v>
      </c>
      <c r="AE40" s="6">
        <v>5.1700481000000007</v>
      </c>
      <c r="AF40" s="6">
        <v>0.18719999999999998</v>
      </c>
      <c r="AI40" s="109" t="s">
        <v>521</v>
      </c>
      <c r="AJ40" s="110">
        <f>SUM(AD37:AD49)/AJ45%</f>
        <v>33.449029029264153</v>
      </c>
    </row>
    <row r="41" spans="1:38" x14ac:dyDescent="0.25">
      <c r="A41" s="1" t="s">
        <v>560</v>
      </c>
      <c r="B41" s="5">
        <v>1.6766388888888888</v>
      </c>
      <c r="C41" s="5">
        <v>36.957733025551214</v>
      </c>
      <c r="D41" s="5">
        <v>63.042266974448779</v>
      </c>
      <c r="E41" s="5">
        <v>0</v>
      </c>
      <c r="F41" s="5">
        <f t="shared" si="4"/>
        <v>100</v>
      </c>
      <c r="G41" s="7">
        <v>0</v>
      </c>
      <c r="H41" s="7">
        <v>0</v>
      </c>
      <c r="K41" s="6"/>
      <c r="L41" s="6"/>
      <c r="U41" s="5">
        <f t="shared" ref="U41" si="23">V41*100/C41</f>
        <v>4.5366388888888896</v>
      </c>
      <c r="V41" s="5">
        <f t="shared" ref="V41" si="24">B41</f>
        <v>1.6766388888888888</v>
      </c>
      <c r="W41" s="5">
        <f t="shared" ref="W41" si="25">U41*D41%</f>
        <v>2.8600000000000003</v>
      </c>
      <c r="X41" s="5">
        <f t="shared" ref="X41" si="26">U41*E41%</f>
        <v>0</v>
      </c>
      <c r="AA41" s="6"/>
      <c r="AB41" s="1" t="s">
        <v>560</v>
      </c>
      <c r="AC41" s="6">
        <v>4.5366388888888896</v>
      </c>
      <c r="AD41" s="6">
        <v>1.6766388888888888</v>
      </c>
      <c r="AE41" s="6">
        <v>2.8600000000000003</v>
      </c>
      <c r="AF41" s="6">
        <v>0</v>
      </c>
      <c r="AI41" s="109" t="s">
        <v>53</v>
      </c>
      <c r="AJ41" s="110">
        <f>SUM(AE37:AE49)/AJ45%</f>
        <v>47.938962590677427</v>
      </c>
      <c r="AL41" s="6"/>
    </row>
    <row r="42" spans="1:38" x14ac:dyDescent="0.25">
      <c r="A42" s="1" t="s">
        <v>564</v>
      </c>
      <c r="B42" s="5">
        <v>5.634526666666666</v>
      </c>
      <c r="C42" s="5">
        <v>93.931843263734748</v>
      </c>
      <c r="D42" s="5">
        <v>6.0681567362652391</v>
      </c>
      <c r="E42" s="5">
        <v>0</v>
      </c>
      <c r="F42" s="5">
        <f t="shared" si="4"/>
        <v>99.999999999999986</v>
      </c>
      <c r="G42" s="7">
        <v>2</v>
      </c>
      <c r="H42" s="7">
        <v>3</v>
      </c>
      <c r="U42" s="5">
        <f t="shared" ref="U42" si="27">V42*100/C42</f>
        <v>5.9985266666666668</v>
      </c>
      <c r="V42" s="5">
        <f t="shared" ref="V42" si="28">B42</f>
        <v>5.634526666666666</v>
      </c>
      <c r="W42" s="5">
        <f t="shared" ref="W42" si="29">U42*D42%</f>
        <v>0.36400000000000005</v>
      </c>
      <c r="X42" s="5">
        <f t="shared" ref="X42" si="30">U42*E42%</f>
        <v>0</v>
      </c>
      <c r="AB42" s="1" t="s">
        <v>564</v>
      </c>
      <c r="AC42" s="6">
        <v>5.9985266666666668</v>
      </c>
      <c r="AD42" s="6">
        <v>5.634526666666666</v>
      </c>
      <c r="AE42" s="6">
        <v>0.36400000000000005</v>
      </c>
      <c r="AF42" s="6">
        <v>0</v>
      </c>
      <c r="AI42" s="109" t="s">
        <v>54</v>
      </c>
      <c r="AJ42" s="110">
        <f>SUM(AF37:AF49)/AJ45%</f>
        <v>18.612461148860405</v>
      </c>
    </row>
    <row r="43" spans="1:38" x14ac:dyDescent="0.25">
      <c r="A43" s="1" t="s">
        <v>566</v>
      </c>
      <c r="B43" s="5">
        <v>4.3552558333333335</v>
      </c>
      <c r="C43" s="5">
        <v>66.775783591299387</v>
      </c>
      <c r="D43" s="5">
        <v>29.437022750805962</v>
      </c>
      <c r="E43" s="5">
        <v>3.7870607785690997</v>
      </c>
      <c r="F43" s="5">
        <f t="shared" ref="F43:F44" si="31">SUM(C43:E43)</f>
        <v>99.999867120674452</v>
      </c>
      <c r="G43" s="7">
        <v>2</v>
      </c>
      <c r="H43" s="7">
        <v>2</v>
      </c>
      <c r="U43" s="5">
        <f t="shared" ref="U43" si="32">V43*100/C43</f>
        <v>6.5222084999999996</v>
      </c>
      <c r="V43" s="5">
        <f t="shared" ref="V43" si="33">B43</f>
        <v>4.3552558333333335</v>
      </c>
      <c r="W43" s="5">
        <f t="shared" ref="W43" si="34">U43*D43%</f>
        <v>1.9199440000000003</v>
      </c>
      <c r="X43" s="5">
        <f t="shared" ref="X43" si="35">U43*E43%</f>
        <v>0.247</v>
      </c>
      <c r="AB43" s="1" t="s">
        <v>566</v>
      </c>
      <c r="AC43" s="6">
        <v>6.5222084999999996</v>
      </c>
      <c r="AD43" s="6">
        <v>4.3552558333333335</v>
      </c>
      <c r="AE43" s="6">
        <v>1.9199440000000003</v>
      </c>
      <c r="AF43" s="6">
        <v>0.247</v>
      </c>
      <c r="AI43" s="109"/>
      <c r="AJ43" s="110"/>
    </row>
    <row r="44" spans="1:38" x14ac:dyDescent="0.25">
      <c r="A44" s="1" t="s">
        <v>573</v>
      </c>
      <c r="B44" s="5">
        <v>4.0855555555555556</v>
      </c>
      <c r="C44" s="5">
        <v>63.730932543867048</v>
      </c>
      <c r="D44" s="5">
        <v>0</v>
      </c>
      <c r="E44" s="5">
        <f>36.225988326892+0.04</f>
        <v>36.265988326892</v>
      </c>
      <c r="F44" s="5">
        <f t="shared" si="31"/>
        <v>99.996920870759055</v>
      </c>
      <c r="G44" s="7">
        <v>3</v>
      </c>
      <c r="H44" s="7">
        <v>0</v>
      </c>
      <c r="U44" s="5">
        <f t="shared" ref="U44" si="36">V44*100/C44</f>
        <v>6.4106320000000006</v>
      </c>
      <c r="V44" s="5">
        <f t="shared" ref="V44" si="37">B44</f>
        <v>4.0855555555555556</v>
      </c>
      <c r="W44" s="5">
        <f t="shared" ref="W44" si="38">U44*D44%</f>
        <v>0</v>
      </c>
      <c r="X44" s="5">
        <f t="shared" ref="X44" si="39">U44*E44%</f>
        <v>2.3248790528000036</v>
      </c>
      <c r="AB44" s="1" t="s">
        <v>573</v>
      </c>
      <c r="AC44" s="6">
        <v>6.4106320000000006</v>
      </c>
      <c r="AD44" s="6">
        <v>4.0855555555555556</v>
      </c>
      <c r="AE44" s="6">
        <v>0</v>
      </c>
      <c r="AF44" s="6">
        <v>2.3248790528000036</v>
      </c>
      <c r="AI44" s="210" t="s">
        <v>537</v>
      </c>
      <c r="AJ44" s="210"/>
    </row>
    <row r="45" spans="1:38" x14ac:dyDescent="0.25">
      <c r="A45" s="1" t="s">
        <v>575</v>
      </c>
      <c r="B45" s="5">
        <v>0</v>
      </c>
      <c r="C45" s="5">
        <v>0</v>
      </c>
      <c r="D45" s="5">
        <v>0</v>
      </c>
      <c r="E45" s="5">
        <v>100</v>
      </c>
      <c r="F45" s="5">
        <f t="shared" ref="F45" si="40">SUM(C45:E45)</f>
        <v>100</v>
      </c>
      <c r="G45" s="7">
        <v>0</v>
      </c>
      <c r="H45" s="7">
        <v>0</v>
      </c>
      <c r="U45" s="5">
        <v>5.98</v>
      </c>
      <c r="V45" s="5">
        <v>0</v>
      </c>
      <c r="W45" s="5">
        <v>0</v>
      </c>
      <c r="X45" s="5">
        <v>5.98</v>
      </c>
      <c r="AB45" s="1" t="s">
        <v>575</v>
      </c>
      <c r="AC45" s="6">
        <v>5.98</v>
      </c>
      <c r="AD45" s="6">
        <v>0</v>
      </c>
      <c r="AE45" s="6">
        <v>0</v>
      </c>
      <c r="AF45" s="6">
        <v>5.98</v>
      </c>
      <c r="AI45" s="109" t="s">
        <v>526</v>
      </c>
      <c r="AJ45" s="110">
        <f>SUM(AC37:AC49)</f>
        <v>94.093403944444447</v>
      </c>
    </row>
    <row r="46" spans="1:38" x14ac:dyDescent="0.25">
      <c r="A46" s="1" t="s">
        <v>577</v>
      </c>
      <c r="B46" s="5">
        <v>0</v>
      </c>
      <c r="C46" s="5">
        <v>0</v>
      </c>
      <c r="D46" s="5">
        <v>0</v>
      </c>
      <c r="E46" s="5">
        <v>100</v>
      </c>
      <c r="F46" s="5">
        <f t="shared" ref="F46" si="41">SUM(C46:E46)</f>
        <v>100</v>
      </c>
      <c r="G46" s="7">
        <v>0</v>
      </c>
      <c r="H46" s="7">
        <v>0</v>
      </c>
      <c r="U46" s="5">
        <v>8.3699999999999992</v>
      </c>
      <c r="V46" s="5">
        <v>0</v>
      </c>
      <c r="W46" s="5">
        <v>0</v>
      </c>
      <c r="X46" s="5">
        <v>8.3699999999999992</v>
      </c>
      <c r="AB46" s="1" t="s">
        <v>577</v>
      </c>
      <c r="AC46" s="6">
        <v>8.3699999999999992</v>
      </c>
      <c r="AD46" s="6">
        <v>0</v>
      </c>
      <c r="AE46" s="6">
        <v>0</v>
      </c>
      <c r="AF46" s="6">
        <v>8.3699999999999992</v>
      </c>
      <c r="AI46" s="109" t="s">
        <v>527</v>
      </c>
      <c r="AJ46" s="110">
        <f>SUM(AD37:AD49)</f>
        <v>31.473330000000001</v>
      </c>
    </row>
    <row r="47" spans="1:38" x14ac:dyDescent="0.25">
      <c r="A47" s="1" t="s">
        <v>579</v>
      </c>
      <c r="B47" s="5">
        <v>0.26895833333333335</v>
      </c>
      <c r="C47" s="5">
        <v>3.6944826007326008</v>
      </c>
      <c r="D47" s="5">
        <f>96.8928571428572-0.59</f>
        <v>96.302857142857192</v>
      </c>
      <c r="E47" s="5">
        <v>0</v>
      </c>
      <c r="F47" s="5">
        <f t="shared" ref="F47:F54" si="42">SUM(C47:E47)</f>
        <v>99.997339743589791</v>
      </c>
      <c r="G47" s="7">
        <v>0</v>
      </c>
      <c r="H47" s="7">
        <v>0</v>
      </c>
      <c r="U47" s="5">
        <f t="shared" ref="U47" si="43">V47*100/C47</f>
        <v>7.28</v>
      </c>
      <c r="V47" s="5">
        <f t="shared" ref="V47" si="44">B47</f>
        <v>0.26895833333333335</v>
      </c>
      <c r="W47" s="5">
        <f t="shared" ref="W47" si="45">U47*D47%</f>
        <v>7.0108480000000037</v>
      </c>
      <c r="X47" s="5">
        <f t="shared" ref="X47" si="46">U47*E47%</f>
        <v>0</v>
      </c>
      <c r="AB47" s="1" t="s">
        <v>579</v>
      </c>
      <c r="AC47" s="6">
        <v>7.28</v>
      </c>
      <c r="AD47" s="6">
        <v>0.26895833333333335</v>
      </c>
      <c r="AE47" s="6">
        <v>7.0108480000000037</v>
      </c>
      <c r="AF47" s="6">
        <v>0</v>
      </c>
      <c r="AI47" s="109" t="s">
        <v>528</v>
      </c>
      <c r="AJ47" s="110">
        <f>SUM(AE37:AE49)</f>
        <v>45.107401717222217</v>
      </c>
    </row>
    <row r="48" spans="1:38" x14ac:dyDescent="0.25">
      <c r="A48" s="1" t="s">
        <v>582</v>
      </c>
      <c r="B48" s="5">
        <v>0.39111111111111113</v>
      </c>
      <c r="C48" s="5">
        <v>3.6689597665207425</v>
      </c>
      <c r="D48" s="5">
        <f>96.5756097560975-0.24</f>
        <v>96.335609756097512</v>
      </c>
      <c r="E48" s="5">
        <v>0</v>
      </c>
      <c r="F48" s="5">
        <f t="shared" si="42"/>
        <v>100.00456952261825</v>
      </c>
      <c r="G48" s="7">
        <v>1</v>
      </c>
      <c r="H48" s="7">
        <v>0</v>
      </c>
      <c r="U48" s="5">
        <f t="shared" ref="U48" si="47">V48*100/C48</f>
        <v>10.66</v>
      </c>
      <c r="V48" s="5">
        <f t="shared" ref="V48" si="48">B48</f>
        <v>0.39111111111111113</v>
      </c>
      <c r="W48" s="5">
        <f t="shared" ref="W48" si="49">U48*D48%</f>
        <v>10.269375999999994</v>
      </c>
      <c r="X48" s="5">
        <f t="shared" ref="X48" si="50">U48*E48%</f>
        <v>0</v>
      </c>
      <c r="AB48" s="1" t="s">
        <v>582</v>
      </c>
      <c r="AC48" s="6">
        <v>10.66</v>
      </c>
      <c r="AD48" s="6">
        <v>0.39111111111111113</v>
      </c>
      <c r="AE48" s="6">
        <v>10.269375999999994</v>
      </c>
      <c r="AF48" s="6">
        <v>0</v>
      </c>
      <c r="AI48" s="109" t="s">
        <v>529</v>
      </c>
      <c r="AJ48" s="110">
        <f>SUM(AF37:AF49)</f>
        <v>17.513098252800006</v>
      </c>
    </row>
    <row r="49" spans="1:32" x14ac:dyDescent="0.25">
      <c r="A49" s="1" t="s">
        <v>587</v>
      </c>
      <c r="B49" s="5">
        <v>1.0284258333333334</v>
      </c>
      <c r="C49" s="5">
        <v>19.201378516305702</v>
      </c>
      <c r="D49" s="5">
        <v>80.8</v>
      </c>
      <c r="E49" s="5">
        <v>0</v>
      </c>
      <c r="F49" s="5">
        <f t="shared" si="42"/>
        <v>100.00137851630569</v>
      </c>
      <c r="G49" s="7">
        <v>0</v>
      </c>
      <c r="H49" s="7">
        <v>0</v>
      </c>
      <c r="U49" s="5">
        <f t="shared" ref="U49" si="51">V49*100/C49</f>
        <v>5.3559999999999999</v>
      </c>
      <c r="V49" s="5">
        <f t="shared" ref="V49" si="52">B49</f>
        <v>1.0284258333333334</v>
      </c>
      <c r="W49" s="5">
        <f t="shared" ref="W49" si="53">U49*D49%</f>
        <v>4.3276479999999999</v>
      </c>
      <c r="X49" s="5">
        <f t="shared" ref="X49" si="54">U49*E49%</f>
        <v>0</v>
      </c>
      <c r="AB49" s="1" t="s">
        <v>587</v>
      </c>
      <c r="AC49" s="6">
        <v>5.3559999999999999</v>
      </c>
      <c r="AD49" s="6">
        <v>1.0284258333333334</v>
      </c>
      <c r="AE49" s="6">
        <v>4.3276479999999999</v>
      </c>
      <c r="AF49" s="6">
        <v>0</v>
      </c>
    </row>
    <row r="50" spans="1:32" x14ac:dyDescent="0.25">
      <c r="A50" s="1" t="s">
        <v>632</v>
      </c>
      <c r="B50" s="5">
        <v>0</v>
      </c>
      <c r="C50" s="5">
        <v>0</v>
      </c>
      <c r="D50" s="5">
        <v>0</v>
      </c>
      <c r="E50" s="5">
        <v>0</v>
      </c>
      <c r="F50" s="5">
        <f t="shared" si="42"/>
        <v>0</v>
      </c>
      <c r="G50" s="7">
        <v>0</v>
      </c>
      <c r="H50" s="7">
        <v>0</v>
      </c>
      <c r="U50" s="5">
        <v>0</v>
      </c>
      <c r="V50" s="5">
        <f t="shared" ref="V50:V51" si="55">B50</f>
        <v>0</v>
      </c>
      <c r="W50" s="5">
        <f t="shared" ref="W50:W51" si="56">U50*D50%</f>
        <v>0</v>
      </c>
      <c r="X50" s="5">
        <f t="shared" ref="X50:X51" si="57">U50*E50%</f>
        <v>0</v>
      </c>
      <c r="AC50" s="6"/>
      <c r="AD50" s="6"/>
      <c r="AE50" s="6"/>
      <c r="AF50" s="6"/>
    </row>
    <row r="51" spans="1:32" x14ac:dyDescent="0.25">
      <c r="A51" s="1" t="s">
        <v>633</v>
      </c>
      <c r="B51" s="5">
        <v>1.3074488888888889</v>
      </c>
      <c r="C51" s="5">
        <v>15.282907779764578</v>
      </c>
      <c r="D51" s="5">
        <v>84.717398734553058</v>
      </c>
      <c r="E51" s="5">
        <v>0</v>
      </c>
      <c r="F51" s="5">
        <f t="shared" si="42"/>
        <v>100.00030651431763</v>
      </c>
      <c r="G51" s="7">
        <v>2</v>
      </c>
      <c r="H51" s="7">
        <v>1</v>
      </c>
      <c r="U51" s="5">
        <f t="shared" ref="U51" si="58">V51*100/C51</f>
        <v>8.5549746666666664</v>
      </c>
      <c r="V51" s="5">
        <f t="shared" si="55"/>
        <v>1.3074488888888889</v>
      </c>
      <c r="W51" s="5">
        <f t="shared" si="56"/>
        <v>7.2475520000000015</v>
      </c>
      <c r="X51" s="5">
        <f t="shared" si="57"/>
        <v>0</v>
      </c>
    </row>
    <row r="52" spans="1:32" x14ac:dyDescent="0.25">
      <c r="A52" s="1" t="s">
        <v>634</v>
      </c>
      <c r="B52" s="5">
        <v>4.1210883333333337</v>
      </c>
      <c r="C52" s="5">
        <v>41.821476896015163</v>
      </c>
      <c r="D52" s="5">
        <f>56.0833773087071+2.1</f>
        <v>58.183377308707101</v>
      </c>
      <c r="E52" s="5">
        <v>0</v>
      </c>
      <c r="F52" s="5">
        <f t="shared" si="42"/>
        <v>100.00485420472226</v>
      </c>
      <c r="G52" s="7">
        <v>2</v>
      </c>
      <c r="H52" s="7">
        <v>0</v>
      </c>
      <c r="U52" s="5">
        <f t="shared" ref="U52" si="59">V52*100/C52</f>
        <v>9.8539999999999992</v>
      </c>
      <c r="V52" s="5">
        <f t="shared" ref="V52" si="60">B52</f>
        <v>4.1210883333333337</v>
      </c>
      <c r="W52" s="5">
        <f t="shared" ref="W52" si="61">U52*D52%</f>
        <v>5.7333899999999964</v>
      </c>
      <c r="X52" s="5">
        <f t="shared" ref="X52" si="62">U52*E52%</f>
        <v>0</v>
      </c>
    </row>
    <row r="53" spans="1:32" x14ac:dyDescent="0.25">
      <c r="A53" s="1" t="s">
        <v>635</v>
      </c>
      <c r="B53" s="5">
        <v>2.929816666666667</v>
      </c>
      <c r="C53" s="5">
        <v>50.2</v>
      </c>
      <c r="D53" s="5">
        <v>49.799572227581031</v>
      </c>
      <c r="E53" s="5">
        <v>0</v>
      </c>
      <c r="F53" s="5">
        <f t="shared" si="42"/>
        <v>99.999572227581041</v>
      </c>
      <c r="G53" s="7">
        <v>2</v>
      </c>
      <c r="H53" s="7">
        <v>0</v>
      </c>
      <c r="U53" s="5">
        <f t="shared" ref="U53" si="63">V53*100/C53</f>
        <v>5.8362881806108895</v>
      </c>
      <c r="V53" s="5">
        <f t="shared" ref="V53" si="64">B53</f>
        <v>2.929816666666667</v>
      </c>
      <c r="W53" s="5">
        <f t="shared" ref="W53" si="65">U53*D53%</f>
        <v>2.9064465479130948</v>
      </c>
      <c r="X53" s="5">
        <f t="shared" ref="X53" si="66">U53*E53%</f>
        <v>0</v>
      </c>
    </row>
    <row r="54" spans="1:32" x14ac:dyDescent="0.25">
      <c r="A54" s="1" t="s">
        <v>636</v>
      </c>
      <c r="B54" s="5">
        <v>2.4122205555555558</v>
      </c>
      <c r="C54" s="5">
        <v>53.275960327762476</v>
      </c>
      <c r="D54" s="5">
        <v>46.725856847542921</v>
      </c>
      <c r="E54" s="5">
        <v>0</v>
      </c>
      <c r="F54" s="5">
        <f t="shared" si="42"/>
        <v>100.0018171753054</v>
      </c>
      <c r="G54" s="7">
        <v>3</v>
      </c>
      <c r="H54" s="7">
        <v>1</v>
      </c>
      <c r="U54" s="5">
        <f t="shared" ref="U54" si="67">V54*100/C54</f>
        <v>4.5277842777777781</v>
      </c>
      <c r="V54" s="5">
        <f t="shared" ref="V54" si="68">B54</f>
        <v>2.4122205555555558</v>
      </c>
      <c r="W54" s="5">
        <f t="shared" ref="W54" si="69">U54*D54%</f>
        <v>2.1156459999999999</v>
      </c>
      <c r="X54" s="5">
        <f t="shared" ref="X54" si="70">U54*E54%</f>
        <v>0</v>
      </c>
    </row>
    <row r="55" spans="1:32" x14ac:dyDescent="0.25">
      <c r="A55" s="1" t="s">
        <v>637</v>
      </c>
      <c r="B55" s="5">
        <v>5.8260152777777776</v>
      </c>
      <c r="C55" s="5">
        <v>97.938412470388357</v>
      </c>
      <c r="D55" s="5">
        <f>2.6238415267474-0.56</f>
        <v>2.0638415267474</v>
      </c>
      <c r="E55" s="5">
        <v>0</v>
      </c>
      <c r="F55" s="5">
        <f t="shared" ref="F55:F57" si="71">SUM(C55:E55)</f>
        <v>100.00225399713575</v>
      </c>
      <c r="G55" s="7">
        <v>3</v>
      </c>
      <c r="H55" s="7">
        <v>2</v>
      </c>
      <c r="U55" s="5">
        <f t="shared" ref="U55:U56" si="72">V55*100/C55</f>
        <v>5.9486519444444443</v>
      </c>
      <c r="V55" s="5">
        <f t="shared" ref="V55" si="73">B55</f>
        <v>5.8260152777777776</v>
      </c>
      <c r="W55" s="5">
        <f t="shared" ref="W55" si="74">U55*D55%</f>
        <v>0.1227707491111111</v>
      </c>
      <c r="X55" s="5">
        <f t="shared" ref="X55" si="75">U55*E55%</f>
        <v>0</v>
      </c>
    </row>
    <row r="56" spans="1:32" x14ac:dyDescent="0.25">
      <c r="A56" s="1" t="s">
        <v>638</v>
      </c>
      <c r="B56" s="5">
        <v>1.9626460820987655</v>
      </c>
      <c r="C56" s="5">
        <v>23.888573591452488</v>
      </c>
      <c r="D56" s="5">
        <v>0</v>
      </c>
      <c r="E56" s="5">
        <f>76.9374830391918-0.83</f>
        <v>76.107483039191806</v>
      </c>
      <c r="F56" s="5">
        <f t="shared" si="71"/>
        <v>99.99605663064429</v>
      </c>
      <c r="G56" s="7">
        <v>4</v>
      </c>
      <c r="H56" s="7">
        <v>1</v>
      </c>
      <c r="U56" s="5">
        <f t="shared" si="72"/>
        <v>8.2158362222222223</v>
      </c>
      <c r="V56" s="5">
        <f t="shared" ref="V56" si="76">B56</f>
        <v>1.9626460820987655</v>
      </c>
      <c r="W56" s="5">
        <f t="shared" ref="W56" si="77">U56*D56%</f>
        <v>0</v>
      </c>
      <c r="X56" s="5">
        <f t="shared" ref="X56" si="78">U56*E56%</f>
        <v>6.2528661593555546</v>
      </c>
    </row>
    <row r="57" spans="1:32" x14ac:dyDescent="0.25">
      <c r="A57" s="1" t="s">
        <v>639</v>
      </c>
      <c r="B57" s="5">
        <v>0</v>
      </c>
      <c r="C57" s="5">
        <v>0</v>
      </c>
      <c r="D57" s="5">
        <v>34.459459459459453</v>
      </c>
      <c r="E57" s="5">
        <v>65.540540540540533</v>
      </c>
      <c r="F57" s="5">
        <f t="shared" si="71"/>
        <v>99.999999999999986</v>
      </c>
      <c r="G57" s="7">
        <v>0</v>
      </c>
      <c r="H57" s="7">
        <v>0</v>
      </c>
      <c r="L57" s="6"/>
      <c r="M57" s="6"/>
      <c r="N57" s="6"/>
      <c r="U57" s="5">
        <v>7.6960000000000006</v>
      </c>
      <c r="V57" s="5">
        <f t="shared" ref="V57:V58" si="79">B57</f>
        <v>0</v>
      </c>
      <c r="W57" s="5">
        <f t="shared" ref="W57:W58" si="80">U57*D57%</f>
        <v>2.6519999999999997</v>
      </c>
      <c r="X57" s="5">
        <f t="shared" ref="X57:X58" si="81">U57*E57%</f>
        <v>5.0440000000000005</v>
      </c>
    </row>
    <row r="58" spans="1:32" x14ac:dyDescent="0.25">
      <c r="A58" s="1" t="s">
        <v>640</v>
      </c>
      <c r="B58" s="5">
        <v>2.4689350000000001</v>
      </c>
      <c r="C58" s="5">
        <v>23.933022608367477</v>
      </c>
      <c r="D58" s="5">
        <f>76.0869140241608-0.02</f>
        <v>76.066914024160809</v>
      </c>
      <c r="E58" s="5">
        <v>0</v>
      </c>
      <c r="F58" s="5">
        <f t="shared" ref="F58" si="82">SUM(C58:E58)</f>
        <v>99.999936632528289</v>
      </c>
      <c r="G58" s="7">
        <v>4</v>
      </c>
      <c r="H58" s="7">
        <v>0</v>
      </c>
      <c r="U58" s="5">
        <f t="shared" ref="U58" si="83">V58*100/C58</f>
        <v>10.316018333333332</v>
      </c>
      <c r="V58" s="5">
        <f t="shared" si="79"/>
        <v>2.4689350000000001</v>
      </c>
      <c r="W58" s="5">
        <f t="shared" si="80"/>
        <v>7.847076796333333</v>
      </c>
      <c r="X58" s="5">
        <f t="shared" si="81"/>
        <v>0</v>
      </c>
    </row>
    <row r="59" spans="1:32" x14ac:dyDescent="0.25">
      <c r="A59" s="1" t="s">
        <v>641</v>
      </c>
      <c r="B59" s="5">
        <v>1.5448027777777777</v>
      </c>
      <c r="C59" s="5">
        <v>14.779972998256579</v>
      </c>
      <c r="D59" s="5">
        <f>87.4129353233831-2.19</f>
        <v>85.222935323383098</v>
      </c>
      <c r="E59" s="5">
        <v>0</v>
      </c>
      <c r="F59" s="5">
        <f t="shared" ref="F59:F64" si="84">SUM(C59:E59)</f>
        <v>100.00290832163968</v>
      </c>
      <c r="G59" s="7">
        <v>0</v>
      </c>
      <c r="H59" s="7">
        <v>0</v>
      </c>
      <c r="U59" s="5">
        <f t="shared" ref="U59" si="85">V59*100/C59</f>
        <v>10.452000000000002</v>
      </c>
      <c r="V59" s="5">
        <f t="shared" ref="V59" si="86">B59</f>
        <v>1.5448027777777777</v>
      </c>
      <c r="W59" s="5">
        <f t="shared" ref="W59" si="87">U59*D59%</f>
        <v>8.9075012000000022</v>
      </c>
      <c r="X59" s="5">
        <f t="shared" ref="X59" si="88">U59*E59%</f>
        <v>0</v>
      </c>
    </row>
    <row r="60" spans="1:32" x14ac:dyDescent="0.25">
      <c r="A60" s="1" t="s">
        <v>642</v>
      </c>
      <c r="B60" s="5">
        <v>2.4147825000000003</v>
      </c>
      <c r="C60" s="5">
        <v>25.288793547827069</v>
      </c>
      <c r="D60" s="5">
        <v>74.712342252251645</v>
      </c>
      <c r="E60" s="5">
        <v>0</v>
      </c>
      <c r="F60" s="5">
        <f t="shared" si="84"/>
        <v>100.00113580007871</v>
      </c>
      <c r="G60" s="7">
        <v>2</v>
      </c>
      <c r="H60" s="7">
        <v>1</v>
      </c>
      <c r="U60" s="5">
        <f t="shared" ref="U60" si="89">V60*100/C60</f>
        <v>9.5488244444444437</v>
      </c>
      <c r="V60" s="5">
        <f t="shared" ref="V60" si="90">B60</f>
        <v>2.4147825000000003</v>
      </c>
      <c r="W60" s="5">
        <f t="shared" ref="W60" si="91">U60*D60%</f>
        <v>7.1341503999999993</v>
      </c>
      <c r="X60" s="5">
        <f t="shared" ref="X60" si="92">U60*E60%</f>
        <v>0</v>
      </c>
    </row>
    <row r="61" spans="1:32" x14ac:dyDescent="0.25">
      <c r="A61" s="1" t="s">
        <v>691</v>
      </c>
      <c r="B61" s="5">
        <v>0.38126944444444444</v>
      </c>
      <c r="C61" s="5">
        <v>3.872615641409284</v>
      </c>
      <c r="D61" s="5">
        <v>96.127384358590746</v>
      </c>
      <c r="E61" s="5">
        <v>0</v>
      </c>
      <c r="F61" s="5">
        <f t="shared" si="84"/>
        <v>100.00000000000003</v>
      </c>
      <c r="G61" s="7">
        <v>0</v>
      </c>
      <c r="H61" s="7">
        <v>0</v>
      </c>
      <c r="U61" s="5">
        <f t="shared" ref="U61" si="93">V61*100/C61</f>
        <v>9.845269444444444</v>
      </c>
      <c r="V61" s="5">
        <f t="shared" ref="V61" si="94">B61</f>
        <v>0.38126944444444444</v>
      </c>
      <c r="W61" s="5">
        <f t="shared" ref="W61" si="95">U61*D61%</f>
        <v>9.4640000000000022</v>
      </c>
      <c r="X61" s="5">
        <f t="shared" ref="X61" si="96">U61*E61%</f>
        <v>0</v>
      </c>
    </row>
    <row r="62" spans="1:32" x14ac:dyDescent="0.25">
      <c r="A62" s="1" t="s">
        <v>721</v>
      </c>
      <c r="B62" s="5">
        <v>3.3579938888888887</v>
      </c>
      <c r="C62" s="5">
        <v>35.61780066881493</v>
      </c>
      <c r="D62" s="5">
        <f>64.0223304287837+0.36</f>
        <v>64.382330428783703</v>
      </c>
      <c r="E62" s="5">
        <v>0</v>
      </c>
      <c r="F62" s="5">
        <f t="shared" si="84"/>
        <v>100.00013109759863</v>
      </c>
      <c r="G62" s="7">
        <v>0</v>
      </c>
      <c r="H62" s="7">
        <v>1</v>
      </c>
      <c r="U62" s="5">
        <f t="shared" ref="U62" si="97">V62*100/C62</f>
        <v>9.4278530000000007</v>
      </c>
      <c r="V62" s="5">
        <f t="shared" ref="V62" si="98">B62</f>
        <v>3.3579938888888887</v>
      </c>
      <c r="W62" s="5">
        <f t="shared" ref="W62" si="99">U62*D62%</f>
        <v>6.0698714707999981</v>
      </c>
      <c r="X62" s="5">
        <f t="shared" ref="X62" si="100">U62*E62%</f>
        <v>0</v>
      </c>
    </row>
    <row r="63" spans="1:32" x14ac:dyDescent="0.25">
      <c r="A63" s="1" t="s">
        <v>725</v>
      </c>
      <c r="B63" s="5">
        <v>0.96737416666666665</v>
      </c>
      <c r="C63" s="5">
        <v>10.518589517410302</v>
      </c>
      <c r="D63" s="5">
        <v>89.481249194693163</v>
      </c>
      <c r="E63" s="5">
        <v>0</v>
      </c>
      <c r="F63" s="5">
        <f t="shared" si="84"/>
        <v>99.999838712103468</v>
      </c>
      <c r="G63" s="7">
        <v>0</v>
      </c>
      <c r="H63" s="7">
        <v>0</v>
      </c>
      <c r="U63" s="5">
        <f t="shared" ref="U63:U64" si="101">V63*100/C63</f>
        <v>9.1968050000000012</v>
      </c>
      <c r="V63" s="5">
        <f t="shared" ref="V63:V64" si="102">B63</f>
        <v>0.96737416666666665</v>
      </c>
      <c r="W63" s="5">
        <f t="shared" ref="W63:W64" si="103">U63*D63%</f>
        <v>8.2294160000000005</v>
      </c>
      <c r="X63" s="5">
        <f t="shared" ref="X63:X64" si="104">U63*E63%</f>
        <v>0</v>
      </c>
    </row>
    <row r="64" spans="1:32" x14ac:dyDescent="0.25">
      <c r="A64" s="1" t="s">
        <v>726</v>
      </c>
      <c r="B64" s="5">
        <v>2.4617927777777773</v>
      </c>
      <c r="C64" s="5">
        <v>33.014064716470571</v>
      </c>
      <c r="D64" s="5">
        <v>66.988563458856362</v>
      </c>
      <c r="E64" s="5">
        <v>0</v>
      </c>
      <c r="F64" s="5">
        <f t="shared" si="84"/>
        <v>100.00262817532693</v>
      </c>
      <c r="G64" s="7">
        <v>2</v>
      </c>
      <c r="H64" s="7">
        <v>0</v>
      </c>
      <c r="U64" s="5">
        <f t="shared" si="101"/>
        <v>7.4567999999999985</v>
      </c>
      <c r="V64" s="5">
        <f t="shared" si="102"/>
        <v>2.4617927777777773</v>
      </c>
      <c r="W64" s="5">
        <f t="shared" si="103"/>
        <v>4.9952032000000006</v>
      </c>
      <c r="X64" s="5">
        <f t="shared" si="104"/>
        <v>0</v>
      </c>
    </row>
    <row r="65" spans="1:24" x14ac:dyDescent="0.25">
      <c r="A65" s="1" t="s">
        <v>729</v>
      </c>
      <c r="B65" s="5">
        <v>1.8818758333333334</v>
      </c>
      <c r="C65" s="5">
        <v>23.78391314718036</v>
      </c>
      <c r="D65" s="5">
        <v>76.211344781998363</v>
      </c>
      <c r="E65" s="5">
        <v>0</v>
      </c>
      <c r="F65" s="5">
        <f t="shared" ref="F65" si="105">SUM(C65:E65)</f>
        <v>99.99525792917872</v>
      </c>
      <c r="G65" s="7">
        <v>0</v>
      </c>
      <c r="H65" s="7">
        <v>2</v>
      </c>
      <c r="U65" s="5">
        <f t="shared" ref="U65" si="106">V65*100/C65</f>
        <v>7.9123894444444449</v>
      </c>
      <c r="V65" s="5">
        <f t="shared" ref="V65" si="107">B65</f>
        <v>1.8818758333333334</v>
      </c>
      <c r="W65" s="5">
        <f t="shared" ref="W65" si="108">U65*D65%</f>
        <v>6.0301384000000002</v>
      </c>
      <c r="X65" s="5">
        <f t="shared" ref="X65" si="109">U65*E65%</f>
        <v>0</v>
      </c>
    </row>
    <row r="66" spans="1:24" x14ac:dyDescent="0.25">
      <c r="A66" s="1" t="s">
        <v>753</v>
      </c>
      <c r="B66" s="5">
        <v>6.8088277777777773</v>
      </c>
      <c r="C66" s="5">
        <v>57.504557567993317</v>
      </c>
      <c r="D66" s="5">
        <v>42.494999999999997</v>
      </c>
      <c r="E66" s="5">
        <v>0</v>
      </c>
      <c r="F66" s="5">
        <f t="shared" ref="F66:F76" si="110">SUM(C66:E66)</f>
        <v>99.999557567993321</v>
      </c>
      <c r="G66" s="7">
        <v>5</v>
      </c>
      <c r="H66" s="7">
        <v>3</v>
      </c>
      <c r="U66" s="5">
        <f t="shared" ref="U66" si="111">V66*100/C66</f>
        <v>11.840501111111111</v>
      </c>
      <c r="V66" s="5">
        <f t="shared" ref="V66" si="112">B66</f>
        <v>6.8088277777777773</v>
      </c>
      <c r="W66" s="5">
        <f t="shared" ref="W66" si="113">U66*D66%</f>
        <v>5.0316209471666662</v>
      </c>
      <c r="X66" s="5">
        <f t="shared" ref="X66" si="114">U66*E66%</f>
        <v>0</v>
      </c>
    </row>
    <row r="67" spans="1:24" x14ac:dyDescent="0.25">
      <c r="A67" s="1" t="s">
        <v>758</v>
      </c>
      <c r="B67" s="5">
        <v>4.6761015740740746</v>
      </c>
      <c r="C67" s="5">
        <v>51.107280833449643</v>
      </c>
      <c r="D67" s="5">
        <v>0</v>
      </c>
      <c r="E67" s="5">
        <v>48.897020112781014</v>
      </c>
      <c r="F67" s="5">
        <f t="shared" si="110"/>
        <v>100.00430094623066</v>
      </c>
      <c r="G67" s="7">
        <v>3</v>
      </c>
      <c r="H67" s="7">
        <v>2</v>
      </c>
      <c r="U67" s="5">
        <f t="shared" ref="U67" si="115">V67*100/C67</f>
        <v>9.1495800555555533</v>
      </c>
      <c r="V67" s="5">
        <f t="shared" ref="V67" si="116">B67</f>
        <v>4.6761015740740746</v>
      </c>
      <c r="W67" s="5">
        <f t="shared" ref="W67" si="117">U67*D67%</f>
        <v>0</v>
      </c>
      <c r="X67" s="5">
        <f t="shared" ref="X67" si="118">U67*E67%</f>
        <v>4.4738719999999992</v>
      </c>
    </row>
    <row r="68" spans="1:24" x14ac:dyDescent="0.25">
      <c r="A68" s="1" t="s">
        <v>766</v>
      </c>
      <c r="B68" s="5">
        <v>9.7347055555555553</v>
      </c>
      <c r="C68" s="5">
        <v>75.833063713817964</v>
      </c>
      <c r="D68" s="5">
        <v>24.168518861854228</v>
      </c>
      <c r="E68" s="5">
        <v>0</v>
      </c>
      <c r="F68" s="5">
        <f t="shared" si="110"/>
        <v>100.00158257567219</v>
      </c>
      <c r="G68" s="7">
        <v>4</v>
      </c>
      <c r="H68" s="7">
        <v>7</v>
      </c>
      <c r="U68" s="5">
        <f t="shared" ref="U68" si="119">V68*100/C68</f>
        <v>12.837020000000001</v>
      </c>
      <c r="V68" s="5">
        <f t="shared" ref="V68" si="120">B68</f>
        <v>9.7347055555555553</v>
      </c>
      <c r="W68" s="5">
        <f t="shared" ref="W68" si="121">U68*D68%</f>
        <v>3.1025175999999997</v>
      </c>
      <c r="X68" s="5">
        <f t="shared" ref="X68" si="122">U68*E68%</f>
        <v>0</v>
      </c>
    </row>
    <row r="69" spans="1:24" x14ac:dyDescent="0.25">
      <c r="A69" s="1" t="s">
        <v>771</v>
      </c>
      <c r="B69" s="5">
        <v>6.0346027777777778</v>
      </c>
      <c r="C69" s="5">
        <v>51.304617828175026</v>
      </c>
      <c r="D69" s="5">
        <f>48.7527598416013-0.06</f>
        <v>48.692759841601301</v>
      </c>
      <c r="E69" s="5">
        <v>0</v>
      </c>
      <c r="F69" s="5">
        <f t="shared" si="110"/>
        <v>99.997377669776327</v>
      </c>
      <c r="G69" s="7">
        <v>1</v>
      </c>
      <c r="H69" s="7">
        <v>2</v>
      </c>
      <c r="U69" s="5">
        <f t="shared" ref="U69" si="123">V69*100/C69</f>
        <v>11.762299444444446</v>
      </c>
      <c r="V69" s="5">
        <f t="shared" ref="V69" si="124">B69</f>
        <v>6.0346027777777778</v>
      </c>
      <c r="W69" s="5">
        <f t="shared" ref="W69" si="125">U69*D69%</f>
        <v>5.7273882203333386</v>
      </c>
      <c r="X69" s="5">
        <f t="shared" ref="X69" si="126">U69*E69%</f>
        <v>0</v>
      </c>
    </row>
    <row r="70" spans="1:24" x14ac:dyDescent="0.25">
      <c r="A70" s="1" t="s">
        <v>813</v>
      </c>
      <c r="B70" s="5">
        <v>10.035410277777778</v>
      </c>
      <c r="C70" s="5">
        <v>77.108189726286298</v>
      </c>
      <c r="D70" s="5">
        <v>20.74052509371338</v>
      </c>
      <c r="E70" s="5">
        <v>2.1505259538509511</v>
      </c>
      <c r="F70" s="5">
        <f t="shared" si="110"/>
        <v>99.99924077385063</v>
      </c>
      <c r="G70" s="7">
        <v>15</v>
      </c>
      <c r="H70" s="7">
        <v>15</v>
      </c>
      <c r="U70" s="5">
        <f t="shared" ref="U70" si="127">V70*100/C70</f>
        <v>13.014713888888888</v>
      </c>
      <c r="V70" s="5">
        <f t="shared" ref="V70" si="128">B70</f>
        <v>10.035410277777778</v>
      </c>
      <c r="W70" s="5">
        <f t="shared" ref="W70" si="129">U70*D70%</f>
        <v>2.6993200000000002</v>
      </c>
      <c r="X70" s="5">
        <f t="shared" ref="X70" si="130">U70*E70%</f>
        <v>0.27988479999999999</v>
      </c>
    </row>
    <row r="71" spans="1:24" x14ac:dyDescent="0.25">
      <c r="A71" s="1" t="s">
        <v>817</v>
      </c>
      <c r="B71" s="5">
        <v>1.4005416666666666</v>
      </c>
      <c r="C71" s="5">
        <v>11.749037510793748</v>
      </c>
      <c r="D71" s="5">
        <v>88.25266096667248</v>
      </c>
      <c r="E71" s="5">
        <v>0</v>
      </c>
      <c r="F71" s="5">
        <f t="shared" si="110"/>
        <v>100.00169847746622</v>
      </c>
      <c r="G71" s="7">
        <v>1</v>
      </c>
      <c r="H71" s="7">
        <v>4</v>
      </c>
      <c r="U71" s="5">
        <f t="shared" ref="U71" si="131">V71*100/C71</f>
        <v>11.92048</v>
      </c>
      <c r="V71" s="5">
        <f t="shared" ref="V71" si="132">B71</f>
        <v>1.4005416666666666</v>
      </c>
      <c r="W71" s="5">
        <f t="shared" ref="W71" si="133">U71*D71%</f>
        <v>10.5201408</v>
      </c>
      <c r="X71" s="5">
        <f t="shared" ref="X71" si="134">U71*E71%</f>
        <v>0</v>
      </c>
    </row>
    <row r="72" spans="1:24" x14ac:dyDescent="0.25">
      <c r="A72" s="1" t="s">
        <v>820</v>
      </c>
      <c r="B72" s="5">
        <v>6.7087875000000006</v>
      </c>
      <c r="C72" s="5">
        <v>48.404040435621312</v>
      </c>
      <c r="D72" s="5">
        <f>51.6072390466817-0.01</f>
        <v>51.5972390466817</v>
      </c>
      <c r="E72" s="5">
        <v>0</v>
      </c>
      <c r="F72" s="5">
        <f t="shared" si="110"/>
        <v>100.001279482303</v>
      </c>
      <c r="G72" s="7">
        <v>6</v>
      </c>
      <c r="H72" s="7">
        <v>4</v>
      </c>
      <c r="U72" s="5">
        <f t="shared" ref="U72" si="135">V72*100/C72</f>
        <v>13.859974166666666</v>
      </c>
      <c r="V72" s="5">
        <f t="shared" ref="V72" si="136">B72</f>
        <v>6.7087875000000006</v>
      </c>
      <c r="W72" s="5">
        <f t="shared" ref="W72" si="137">U72*D72%</f>
        <v>7.1513640025833292</v>
      </c>
      <c r="X72" s="5">
        <f t="shared" ref="X72" si="138">U72*E72%</f>
        <v>0</v>
      </c>
    </row>
    <row r="73" spans="1:24" x14ac:dyDescent="0.25">
      <c r="A73" s="1" t="s">
        <v>822</v>
      </c>
      <c r="B73" s="5">
        <v>2.170286388888889</v>
      </c>
      <c r="C73" s="5">
        <v>17.336928725446118</v>
      </c>
      <c r="D73" s="5">
        <v>82.663071274553886</v>
      </c>
      <c r="E73" s="5">
        <v>0</v>
      </c>
      <c r="F73" s="5">
        <f t="shared" si="110"/>
        <v>100</v>
      </c>
      <c r="G73" s="7">
        <v>1</v>
      </c>
      <c r="H73" s="7">
        <v>0</v>
      </c>
      <c r="U73" s="5">
        <f t="shared" ref="U73" si="139">V73*100/C73</f>
        <v>12.518286388888887</v>
      </c>
      <c r="V73" s="5">
        <f t="shared" ref="V73" si="140">B73</f>
        <v>2.170286388888889</v>
      </c>
      <c r="W73" s="5">
        <f t="shared" ref="W73" si="141">U73*D73%</f>
        <v>10.347999999999999</v>
      </c>
      <c r="X73" s="5">
        <f t="shared" ref="X73" si="142">U73*E73%</f>
        <v>0</v>
      </c>
    </row>
    <row r="74" spans="1:24" x14ac:dyDescent="0.25">
      <c r="A74" s="1" t="s">
        <v>850</v>
      </c>
      <c r="B74" s="5">
        <v>3.4505749999999997</v>
      </c>
      <c r="C74" s="5">
        <v>40.970367562021252</v>
      </c>
      <c r="D74" s="5">
        <f>59.0362980833054-0.01</f>
        <v>59.026298083305399</v>
      </c>
      <c r="E74" s="5">
        <v>0</v>
      </c>
      <c r="F74" s="5">
        <f t="shared" si="110"/>
        <v>99.996665645326658</v>
      </c>
      <c r="G74" s="7">
        <v>2</v>
      </c>
      <c r="H74" s="7">
        <v>1</v>
      </c>
      <c r="U74" s="5">
        <f t="shared" ref="U74" si="143">V74*100/C74</f>
        <v>8.4221236111111111</v>
      </c>
      <c r="V74" s="5">
        <f t="shared" ref="V74" si="144">B74</f>
        <v>3.4505749999999997</v>
      </c>
      <c r="W74" s="5">
        <f t="shared" ref="W74" si="145">U74*D74%</f>
        <v>4.9712677876388893</v>
      </c>
      <c r="X74" s="5">
        <f t="shared" ref="X74" si="146">U74*E74%</f>
        <v>0</v>
      </c>
    </row>
    <row r="75" spans="1:24" x14ac:dyDescent="0.25">
      <c r="A75" s="1" t="s">
        <v>851</v>
      </c>
      <c r="B75" s="5">
        <v>4.817011388888889</v>
      </c>
      <c r="C75" s="5">
        <v>54.815549078469267</v>
      </c>
      <c r="D75" s="5">
        <f>45.1780562317974+0.01</f>
        <v>45.188056231797397</v>
      </c>
      <c r="E75" s="5">
        <v>0</v>
      </c>
      <c r="F75" s="5">
        <f t="shared" si="110"/>
        <v>100.00360531026666</v>
      </c>
      <c r="G75" s="7">
        <v>1</v>
      </c>
      <c r="H75" s="7">
        <v>3</v>
      </c>
      <c r="U75" s="5">
        <f t="shared" ref="U75" si="147">V75*100/C75</f>
        <v>8.7876733333333323</v>
      </c>
      <c r="V75" s="5">
        <f t="shared" ref="V75" si="148">B75</f>
        <v>4.817011388888889</v>
      </c>
      <c r="W75" s="5">
        <f t="shared" ref="W75" si="149">U75*D75%</f>
        <v>3.9709787673333308</v>
      </c>
      <c r="X75" s="5">
        <f t="shared" ref="X75" si="150">U75*E75%</f>
        <v>0</v>
      </c>
    </row>
    <row r="76" spans="1:24" x14ac:dyDescent="0.25">
      <c r="A76" s="1" t="s">
        <v>855</v>
      </c>
      <c r="B76" s="5">
        <v>5.2863419444444446</v>
      </c>
      <c r="C76" s="5">
        <v>50.807830589153951</v>
      </c>
      <c r="D76" s="5">
        <v>49.189109861115675</v>
      </c>
      <c r="E76" s="5">
        <v>0</v>
      </c>
      <c r="F76" s="5">
        <f t="shared" si="110"/>
        <v>99.996940450269619</v>
      </c>
      <c r="G76" s="7">
        <v>3</v>
      </c>
      <c r="H76" s="7">
        <v>2</v>
      </c>
      <c r="U76" s="5">
        <f t="shared" ref="U76" si="151">V76*100/C76</f>
        <v>10.40458111111111</v>
      </c>
      <c r="V76" s="5">
        <f t="shared" ref="V76" si="152">B76</f>
        <v>5.2863419444444446</v>
      </c>
      <c r="W76" s="5">
        <f t="shared" ref="W76" si="153">U76*D76%</f>
        <v>5.1179208333333337</v>
      </c>
      <c r="X76" s="5">
        <f t="shared" ref="X76" si="154">U76*E76%</f>
        <v>0</v>
      </c>
    </row>
    <row r="77" spans="1:24" x14ac:dyDescent="0.25">
      <c r="A77" s="1" t="s">
        <v>859</v>
      </c>
      <c r="B77" s="5">
        <v>7.3292472222222225</v>
      </c>
      <c r="C77" s="5">
        <v>67.633065087080496</v>
      </c>
      <c r="D77" s="5">
        <f>32.3784761116539-0.01</f>
        <v>32.368476111653905</v>
      </c>
      <c r="E77" s="5">
        <v>0</v>
      </c>
      <c r="F77" s="5">
        <f t="shared" ref="F77:F78" si="155">SUM(C77:E77)</f>
        <v>100.0015411987344</v>
      </c>
      <c r="G77" s="7">
        <v>5</v>
      </c>
      <c r="H77" s="7">
        <v>0</v>
      </c>
      <c r="U77" s="5">
        <f t="shared" ref="U77:U79" si="156">V77*100/C77</f>
        <v>10.836781111111112</v>
      </c>
      <c r="V77" s="5">
        <f t="shared" ref="V77:V79" si="157">B77</f>
        <v>7.3292472222222225</v>
      </c>
      <c r="W77" s="5">
        <f t="shared" ref="W77:W79" si="158">U77*D77%</f>
        <v>3.5077009052222228</v>
      </c>
      <c r="X77" s="5">
        <f t="shared" ref="X77:X79" si="159">U77*E77%</f>
        <v>0</v>
      </c>
    </row>
    <row r="78" spans="1:24" x14ac:dyDescent="0.25">
      <c r="A78" s="1" t="s">
        <v>864</v>
      </c>
      <c r="B78" s="5">
        <v>4.3812444444444445</v>
      </c>
      <c r="C78" s="5">
        <v>53.92028580300407</v>
      </c>
      <c r="D78" s="5">
        <v>46.081242324960201</v>
      </c>
      <c r="E78" s="5">
        <v>0</v>
      </c>
      <c r="F78" s="5">
        <f t="shared" si="155"/>
        <v>100.00152812796426</v>
      </c>
      <c r="G78" s="7">
        <v>3</v>
      </c>
      <c r="H78" s="7">
        <v>1</v>
      </c>
      <c r="U78" s="5">
        <f t="shared" si="156"/>
        <v>8.1254102777777781</v>
      </c>
      <c r="V78" s="5">
        <f t="shared" si="157"/>
        <v>4.3812444444444445</v>
      </c>
      <c r="W78" s="5">
        <f t="shared" si="158"/>
        <v>3.7442899999999999</v>
      </c>
      <c r="X78" s="5">
        <f t="shared" si="159"/>
        <v>0</v>
      </c>
    </row>
    <row r="79" spans="1:24" x14ac:dyDescent="0.25">
      <c r="A79" s="1" t="s">
        <v>870</v>
      </c>
      <c r="B79" s="5">
        <v>2.0637197222222223</v>
      </c>
      <c r="C79" s="5">
        <v>23.073574398966421</v>
      </c>
      <c r="D79" s="5">
        <v>11.152624174267904</v>
      </c>
      <c r="E79" s="5">
        <v>65.777419989005793</v>
      </c>
      <c r="F79" s="5">
        <f t="shared" ref="F79:F80" si="160">SUM(C79:E79)</f>
        <v>100.00361856224012</v>
      </c>
      <c r="G79" s="7">
        <v>0</v>
      </c>
      <c r="H79" s="7">
        <v>0</v>
      </c>
      <c r="U79" s="5">
        <f t="shared" si="156"/>
        <v>8.9440833333333334</v>
      </c>
      <c r="V79" s="5">
        <f t="shared" si="157"/>
        <v>2.0637197222222223</v>
      </c>
      <c r="W79" s="5">
        <f t="shared" si="158"/>
        <v>0.99749999999999994</v>
      </c>
      <c r="X79" s="5">
        <f t="shared" si="159"/>
        <v>5.8831872583333356</v>
      </c>
    </row>
    <row r="80" spans="1:24" x14ac:dyDescent="0.25">
      <c r="A80" s="1" t="s">
        <v>878</v>
      </c>
      <c r="B80" s="5">
        <v>5.3730811111111114</v>
      </c>
      <c r="C80" s="5">
        <v>64.861952805952697</v>
      </c>
      <c r="D80" s="5">
        <v>35.137654865433127</v>
      </c>
      <c r="E80" s="5">
        <v>0</v>
      </c>
      <c r="F80" s="5">
        <f t="shared" si="160"/>
        <v>99.999607671385832</v>
      </c>
      <c r="G80" s="7">
        <v>5</v>
      </c>
      <c r="H80" s="7">
        <v>2</v>
      </c>
      <c r="L80" s="6"/>
      <c r="M80" s="6"/>
      <c r="N80" s="6"/>
      <c r="U80" s="5">
        <f t="shared" ref="U80" si="161">V80*100/C80</f>
        <v>8.283871944444444</v>
      </c>
      <c r="V80" s="5">
        <f t="shared" ref="V80" si="162">B80</f>
        <v>5.3730811111111114</v>
      </c>
      <c r="W80" s="5">
        <f t="shared" ref="W80" si="163">U80*D80%</f>
        <v>2.9107583333333329</v>
      </c>
      <c r="X80" s="5">
        <f t="shared" ref="X80" si="164">U80*E80%</f>
        <v>0</v>
      </c>
    </row>
    <row r="82" spans="16:23" x14ac:dyDescent="0.25">
      <c r="T82" s="6"/>
      <c r="U82" s="6"/>
      <c r="V82" s="6"/>
      <c r="W82" s="6"/>
    </row>
    <row r="83" spans="16:23" x14ac:dyDescent="0.25">
      <c r="P83" s="6"/>
    </row>
  </sheetData>
  <mergeCells count="6">
    <mergeCell ref="AI44:AJ44"/>
    <mergeCell ref="Y24:Z24"/>
    <mergeCell ref="Y25:Z25"/>
    <mergeCell ref="Y31:Z31"/>
    <mergeCell ref="AI37:AJ37"/>
    <mergeCell ref="AI38:AJ38"/>
  </mergeCells>
  <phoneticPr fontId="10" type="noConversion"/>
  <pageMargins left="0.7" right="0.7" top="0.75" bottom="0.75" header="0.3" footer="0.3"/>
  <pageSetup paperSize="9" orientation="portrait" r:id="rId1"/>
  <ignoredErrors>
    <ignoredError sqref="F39:F43 F14:F37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NELIOTA (p&lt;0.5)</vt:lpstr>
      <vt:lpstr>stat</vt:lpstr>
      <vt:lpstr>stat2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Alx</dc:creator>
  <cp:lastModifiedBy>Alexios Liakos</cp:lastModifiedBy>
  <dcterms:created xsi:type="dcterms:W3CDTF">2016-05-29T10:20:55Z</dcterms:created>
  <dcterms:modified xsi:type="dcterms:W3CDTF">2025-08-01T14:18:56Z</dcterms:modified>
</cp:coreProperties>
</file>